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33B" lockStructure="1"/>
  <bookViews>
    <workbookView xWindow="-225" yWindow="840" windowWidth="17025" windowHeight="10725"/>
  </bookViews>
  <sheets>
    <sheet name="V1 Pauschale Investitionsmehrk." sheetId="7" r:id="rId1"/>
    <sheet name="V2 Individuelle Invest.mehrk." sheetId="2" r:id="rId2"/>
    <sheet name="Referenzmodelle" sheetId="1" state="hidden" r:id="rId3"/>
    <sheet name="Ladeinfrastruktur" sheetId="5" state="hidden" r:id="rId4"/>
    <sheet name="DropDownMenüs" sheetId="4" state="hidden" r:id="rId5"/>
    <sheet name="Versionskontrolle" sheetId="6" state="hidden" r:id="rId6"/>
    <sheet name="Unternehmenskategorie" sheetId="3" state="hidden" r:id="rId7"/>
  </sheets>
  <externalReferences>
    <externalReference r:id="rId8"/>
  </externalReferences>
  <definedNames>
    <definedName name="_xlnm._FilterDatabase" localSheetId="2" hidden="1">Referenzmodelle!$A$7:$P$80</definedName>
    <definedName name="_xlnm.Print_Area" localSheetId="2">Referenzmodelle!$B$1:$I$85</definedName>
    <definedName name="_xlnm.Print_Area" localSheetId="0">'V1 Pauschale Investitionsmehrk.'!$A:$N</definedName>
    <definedName name="_xlnm.Print_Area" localSheetId="1">'V2 Individuelle Invest.mehrk.'!$A:$R</definedName>
    <definedName name="E_Mobildaten">'[1]E-Fahrzeuge'!$C$7:$AF$100</definedName>
    <definedName name="KonvDaten">[1]Vergleichsmodelle!$C$7:$T$120</definedName>
    <definedName name="Z_41A31638_5241_47B1_A775_10C3959D1DD6_.wvu.Cols" localSheetId="0" hidden="1">'V1 Pauschale Investitionsmehrk.'!$O:$XFD</definedName>
    <definedName name="Z_41A31638_5241_47B1_A775_10C3959D1DD6_.wvu.Cols" localSheetId="1" hidden="1">'V2 Individuelle Invest.mehrk.'!$U:$XFD</definedName>
    <definedName name="Z_41A31638_5241_47B1_A775_10C3959D1DD6_.wvu.FilterData" localSheetId="2" hidden="1">Referenzmodelle!$C$63:$F$63</definedName>
    <definedName name="Z_41A31638_5241_47B1_A775_10C3959D1DD6_.wvu.PrintArea" localSheetId="2" hidden="1">Referenzmodelle!$B$1:$I$85</definedName>
    <definedName name="Z_41A31638_5241_47B1_A775_10C3959D1DD6_.wvu.PrintArea" localSheetId="0" hidden="1">'V1 Pauschale Investitionsmehrk.'!$A$3:$N$64</definedName>
    <definedName name="Z_41A31638_5241_47B1_A775_10C3959D1DD6_.wvu.Rows" localSheetId="2" hidden="1">Referenzmodelle!$98:$1048576,Referenzmodelle!$87:$87</definedName>
    <definedName name="Z_41A31638_5241_47B1_A775_10C3959D1DD6_.wvu.Rows" localSheetId="0" hidden="1">'V1 Pauschale Investitionsmehrk.'!$77:$1048576,'V1 Pauschale Investitionsmehrk.'!$64:$76</definedName>
    <definedName name="Z_41A31638_5241_47B1_A775_10C3959D1DD6_.wvu.Rows" localSheetId="1" hidden="1">'V2 Individuelle Invest.mehrk.'!$95:$1048576,'V2 Individuelle Invest.mehrk.'!$79:$94</definedName>
  </definedNames>
  <calcPr calcId="145621"/>
  <customWorkbookViews>
    <customWorkbookView name="Formularmodus" guid="{41A31638-5241-47B1-A775-10C3959D1DD6}" maximized="1" windowWidth="1920" windowHeight="880" activeSheetId="2" showFormulaBar="0"/>
  </customWorkbookViews>
</workbook>
</file>

<file path=xl/calcChain.xml><?xml version="1.0" encoding="utf-8"?>
<calcChain xmlns="http://schemas.openxmlformats.org/spreadsheetml/2006/main">
  <c r="Y23" i="2" l="1"/>
  <c r="Z23" i="2"/>
  <c r="Y24" i="2"/>
  <c r="Z24" i="2"/>
  <c r="Y25" i="2"/>
  <c r="Z25" i="2"/>
  <c r="Y26" i="2"/>
  <c r="Z26" i="2"/>
  <c r="Y27" i="2"/>
  <c r="Z27" i="2"/>
  <c r="Y28" i="2"/>
  <c r="Z28" i="2"/>
  <c r="Y29" i="2"/>
  <c r="Z29" i="2"/>
  <c r="Y30" i="2"/>
  <c r="Z30" i="2"/>
  <c r="Y31" i="2"/>
  <c r="Z31" i="2"/>
  <c r="M23" i="2"/>
  <c r="M24" i="2"/>
  <c r="N24" i="2" s="1"/>
  <c r="M25" i="2"/>
  <c r="N25" i="2" s="1"/>
  <c r="M26" i="2"/>
  <c r="N26" i="2" s="1"/>
  <c r="M27" i="2"/>
  <c r="M28" i="2"/>
  <c r="N28" i="2" s="1"/>
  <c r="M29" i="2"/>
  <c r="N29" i="2" s="1"/>
  <c r="M30" i="2"/>
  <c r="N30" i="2" s="1"/>
  <c r="M31" i="2"/>
  <c r="N31" i="2" s="1"/>
  <c r="N27" i="2" l="1"/>
  <c r="N23" i="2"/>
  <c r="AD46" i="2" l="1"/>
  <c r="AC46" i="2"/>
  <c r="AD45" i="2"/>
  <c r="AC45" i="2"/>
  <c r="AD44" i="2"/>
  <c r="AC44" i="2"/>
  <c r="AD43" i="2"/>
  <c r="AC43" i="2"/>
  <c r="AD42" i="2"/>
  <c r="AC42" i="2"/>
  <c r="AD41" i="2"/>
  <c r="AC41" i="2"/>
  <c r="AD40" i="2"/>
  <c r="AC40" i="2"/>
  <c r="AD39" i="2"/>
  <c r="AC39" i="2"/>
  <c r="AD38" i="2"/>
  <c r="AC38" i="2"/>
  <c r="AD37" i="2"/>
  <c r="AC37" i="2"/>
  <c r="AD36" i="2"/>
  <c r="AC36" i="2"/>
  <c r="AF61" i="2"/>
  <c r="AF60" i="2"/>
  <c r="AF59" i="2"/>
  <c r="AF58" i="2"/>
  <c r="AF57" i="2"/>
  <c r="AF56" i="2"/>
  <c r="AF55" i="2"/>
  <c r="AF54" i="2"/>
  <c r="AF53" i="2"/>
  <c r="AF52" i="2"/>
  <c r="AF51" i="2"/>
  <c r="M90" i="1" l="1"/>
  <c r="H90" i="1"/>
  <c r="I90" i="1" s="1"/>
  <c r="J90" i="1" l="1"/>
  <c r="K90" i="1"/>
  <c r="L90" i="1" s="1"/>
  <c r="N10" i="1" l="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9" i="1"/>
  <c r="M9" i="1" s="1"/>
  <c r="P37" i="7" l="1"/>
  <c r="P38" i="7"/>
  <c r="P39" i="7"/>
  <c r="P40" i="7"/>
  <c r="P41" i="7"/>
  <c r="P42" i="7"/>
  <c r="P43" i="7"/>
  <c r="P44" i="7"/>
  <c r="P45" i="7"/>
  <c r="P46" i="7"/>
  <c r="P36" i="7"/>
  <c r="Q5" i="7"/>
  <c r="T5" i="2"/>
  <c r="O72" i="2"/>
  <c r="O67" i="2" s="1"/>
  <c r="M51" i="2"/>
  <c r="M52" i="2"/>
  <c r="N52" i="2" s="1"/>
  <c r="M53" i="2"/>
  <c r="N53" i="2" s="1"/>
  <c r="M54" i="2"/>
  <c r="N54" i="2" s="1"/>
  <c r="M55" i="2"/>
  <c r="N55" i="2" s="1"/>
  <c r="M56" i="2"/>
  <c r="N56" i="2" s="1"/>
  <c r="M57" i="2"/>
  <c r="N57" i="2" s="1"/>
  <c r="M58" i="2"/>
  <c r="N58" i="2" s="1"/>
  <c r="M59" i="2"/>
  <c r="N59" i="2" s="1"/>
  <c r="M60" i="2"/>
  <c r="N60" i="2" s="1"/>
  <c r="M61" i="2"/>
  <c r="N61" i="2" s="1"/>
  <c r="I22" i="7"/>
  <c r="J22" i="7" s="1"/>
  <c r="K22" i="7" s="1"/>
  <c r="I23" i="7"/>
  <c r="J23" i="7" s="1"/>
  <c r="K23" i="7" s="1"/>
  <c r="I24" i="7"/>
  <c r="J24" i="7" s="1"/>
  <c r="K24" i="7" s="1"/>
  <c r="I25" i="7"/>
  <c r="J25" i="7" s="1"/>
  <c r="K25" i="7" s="1"/>
  <c r="I26" i="7"/>
  <c r="J26" i="7" s="1"/>
  <c r="K26" i="7" s="1"/>
  <c r="I27" i="7"/>
  <c r="J27" i="7" s="1"/>
  <c r="K27" i="7" s="1"/>
  <c r="I28" i="7"/>
  <c r="J28" i="7" s="1"/>
  <c r="K28" i="7" s="1"/>
  <c r="I29" i="7"/>
  <c r="J29" i="7" s="1"/>
  <c r="K29" i="7" s="1"/>
  <c r="I30" i="7"/>
  <c r="J30" i="7" s="1"/>
  <c r="K30" i="7" s="1"/>
  <c r="K37" i="7"/>
  <c r="K38" i="7"/>
  <c r="K39" i="7"/>
  <c r="K40" i="7"/>
  <c r="K41" i="7"/>
  <c r="K42" i="7"/>
  <c r="K43" i="7"/>
  <c r="K44" i="7"/>
  <c r="K45" i="7"/>
  <c r="K46" i="7"/>
  <c r="K36" i="7"/>
  <c r="K19" i="2" l="1"/>
  <c r="G19" i="2"/>
  <c r="M19" i="2"/>
  <c r="K47" i="7"/>
  <c r="N51" i="2"/>
  <c r="O51" i="2" s="1"/>
  <c r="M62" i="2"/>
  <c r="L51" i="7"/>
  <c r="L56" i="7"/>
  <c r="I19" i="7"/>
  <c r="K35" i="7"/>
  <c r="K50" i="2"/>
  <c r="N66" i="2"/>
  <c r="M50" i="2"/>
  <c r="O52" i="2"/>
  <c r="O53" i="2"/>
  <c r="O54" i="2"/>
  <c r="O55" i="2"/>
  <c r="O56" i="2"/>
  <c r="O57" i="2"/>
  <c r="O58" i="2"/>
  <c r="O59" i="2"/>
  <c r="O60" i="2"/>
  <c r="O61" i="2"/>
  <c r="L37" i="7"/>
  <c r="M37" i="7" s="1"/>
  <c r="L38" i="7"/>
  <c r="L39" i="7"/>
  <c r="L40" i="7"/>
  <c r="L41" i="7"/>
  <c r="L42" i="7"/>
  <c r="L43" i="7"/>
  <c r="L44" i="7"/>
  <c r="L45" i="7"/>
  <c r="L46" i="7"/>
  <c r="L36" i="7"/>
  <c r="M36" i="7" s="1"/>
  <c r="M21" i="7"/>
  <c r="M22" i="7"/>
  <c r="M23" i="7"/>
  <c r="M24" i="7"/>
  <c r="M25" i="7"/>
  <c r="M26" i="7"/>
  <c r="M27" i="7"/>
  <c r="M28" i="7"/>
  <c r="M29" i="7"/>
  <c r="M30" i="7"/>
  <c r="O62" i="2" l="1"/>
  <c r="M45" i="7"/>
  <c r="M41" i="7"/>
  <c r="M40" i="7"/>
  <c r="M43" i="7"/>
  <c r="M39" i="7"/>
  <c r="M46" i="7"/>
  <c r="M42" i="7"/>
  <c r="M38" i="7"/>
  <c r="M44" i="7"/>
  <c r="K9" i="1"/>
  <c r="H9" i="1"/>
  <c r="Q22" i="2"/>
  <c r="Q23" i="2"/>
  <c r="Q24" i="2"/>
  <c r="Q25" i="2"/>
  <c r="Q26" i="2"/>
  <c r="Q27" i="2"/>
  <c r="Q28" i="2"/>
  <c r="Q29" i="2"/>
  <c r="Q30" i="2"/>
  <c r="Q31" i="2"/>
  <c r="Q21" i="2"/>
  <c r="M20" i="7"/>
  <c r="L21" i="7"/>
  <c r="I21" i="7" s="1"/>
  <c r="J21" i="7" s="1"/>
  <c r="K21" i="7" s="1"/>
  <c r="L22" i="7"/>
  <c r="L23" i="7"/>
  <c r="L24" i="7"/>
  <c r="L25" i="7"/>
  <c r="L26" i="7"/>
  <c r="L27" i="7"/>
  <c r="L28" i="7"/>
  <c r="L29" i="7"/>
  <c r="L30" i="7"/>
  <c r="L20" i="7"/>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14" i="1"/>
  <c r="M15" i="1"/>
  <c r="M16" i="1"/>
  <c r="M17" i="1"/>
  <c r="M18" i="1"/>
  <c r="M19" i="1"/>
  <c r="M20" i="1"/>
  <c r="M10" i="1"/>
  <c r="M11" i="1"/>
  <c r="M12" i="1"/>
  <c r="M13" i="1"/>
  <c r="L9" i="1"/>
  <c r="Z22" i="2" l="1"/>
  <c r="Y22" i="2"/>
  <c r="M22" i="2" s="1"/>
  <c r="N22" i="2" s="1"/>
  <c r="Y21" i="2"/>
  <c r="M21" i="2" s="1"/>
  <c r="Z21" i="2"/>
  <c r="M47" i="7"/>
  <c r="I20" i="7"/>
  <c r="I31" i="7" s="1"/>
  <c r="M32" i="2" l="1"/>
  <c r="O71" i="2" s="1"/>
  <c r="T21" i="2"/>
  <c r="T22" i="2"/>
  <c r="Q17" i="2"/>
  <c r="I22" i="2"/>
  <c r="I23" i="2"/>
  <c r="I24" i="2"/>
  <c r="I25" i="2"/>
  <c r="I26" i="2"/>
  <c r="I27" i="2"/>
  <c r="I28" i="2"/>
  <c r="I29" i="2"/>
  <c r="I30" i="2"/>
  <c r="I31" i="2"/>
  <c r="I21" i="2"/>
  <c r="N21" i="2" l="1"/>
  <c r="W22" i="2"/>
  <c r="W23" i="2"/>
  <c r="W24" i="2"/>
  <c r="W25" i="2"/>
  <c r="W26" i="2"/>
  <c r="W27" i="2"/>
  <c r="W28" i="2"/>
  <c r="W29" i="2"/>
  <c r="W30" i="2"/>
  <c r="W31" i="2"/>
  <c r="W21" i="2"/>
  <c r="O27" i="2" l="1"/>
  <c r="O29" i="2"/>
  <c r="O30" i="2"/>
  <c r="O23" i="2"/>
  <c r="O26" i="2"/>
  <c r="O25" i="2"/>
  <c r="O24" i="2"/>
  <c r="O22" i="2"/>
  <c r="O31" i="2"/>
  <c r="O28" i="2"/>
  <c r="O21" i="2"/>
  <c r="X22" i="2"/>
  <c r="X23" i="2"/>
  <c r="X24" i="2"/>
  <c r="X25" i="2"/>
  <c r="X26" i="2"/>
  <c r="X27" i="2"/>
  <c r="X28" i="2"/>
  <c r="X29" i="2"/>
  <c r="X30" i="2"/>
  <c r="X31" i="2"/>
  <c r="X21" i="2"/>
  <c r="O32" i="2" l="1"/>
  <c r="X32" i="2"/>
  <c r="W32" i="2"/>
  <c r="T23" i="2"/>
  <c r="T24" i="2"/>
  <c r="T25" i="2"/>
  <c r="T26" i="2"/>
  <c r="T27" i="2"/>
  <c r="T28" i="2"/>
  <c r="T29" i="2"/>
  <c r="T30" i="2"/>
  <c r="T31" i="2"/>
  <c r="V21" i="2"/>
  <c r="V22" i="2"/>
  <c r="V23" i="2"/>
  <c r="V24" i="2"/>
  <c r="V25" i="2"/>
  <c r="V26" i="2"/>
  <c r="V27" i="2"/>
  <c r="V28" i="2"/>
  <c r="V29" i="2"/>
  <c r="V30" i="2"/>
  <c r="V31" i="2"/>
  <c r="V32" i="2" l="1"/>
  <c r="T32" i="2"/>
  <c r="Q32" i="2" l="1"/>
  <c r="U21" i="2"/>
  <c r="Q21" i="7"/>
  <c r="Q22" i="7"/>
  <c r="Q23" i="7"/>
  <c r="Q24" i="7"/>
  <c r="Q25" i="7"/>
  <c r="Q26" i="7"/>
  <c r="Q27" i="7"/>
  <c r="Q28" i="7"/>
  <c r="Q29" i="7"/>
  <c r="Q30" i="7"/>
  <c r="Q20" i="7"/>
  <c r="U22" i="2"/>
  <c r="U23" i="2"/>
  <c r="U24" i="2"/>
  <c r="U25" i="2"/>
  <c r="U26" i="2"/>
  <c r="U27" i="2"/>
  <c r="U28" i="2"/>
  <c r="U29" i="2"/>
  <c r="U30" i="2"/>
  <c r="U31" i="2"/>
  <c r="D41" i="6" l="1"/>
  <c r="M63" i="7" s="1"/>
  <c r="H21" i="7"/>
  <c r="H22" i="7"/>
  <c r="H23" i="7"/>
  <c r="H24" i="7"/>
  <c r="H25" i="7"/>
  <c r="H26" i="7"/>
  <c r="H27" i="7"/>
  <c r="H28" i="7"/>
  <c r="H29" i="7"/>
  <c r="H30" i="7"/>
  <c r="H20" i="7"/>
  <c r="M31" i="7" l="1"/>
  <c r="H10" i="1" l="1"/>
  <c r="K10" i="1" s="1"/>
  <c r="L10" i="1" s="1"/>
  <c r="H11" i="1"/>
  <c r="K11" i="1" s="1"/>
  <c r="L11" i="1" s="1"/>
  <c r="H12" i="1"/>
  <c r="K12" i="1" s="1"/>
  <c r="L12" i="1" s="1"/>
  <c r="H13" i="1"/>
  <c r="K13" i="1" s="1"/>
  <c r="L13" i="1" s="1"/>
  <c r="H14" i="1"/>
  <c r="K14" i="1" s="1"/>
  <c r="L14" i="1" s="1"/>
  <c r="H15" i="1"/>
  <c r="K15" i="1" s="1"/>
  <c r="L15" i="1" s="1"/>
  <c r="H16" i="1"/>
  <c r="K16" i="1" s="1"/>
  <c r="L16" i="1" s="1"/>
  <c r="H17" i="1"/>
  <c r="K17" i="1" s="1"/>
  <c r="L17" i="1" s="1"/>
  <c r="H18" i="1"/>
  <c r="K18" i="1" s="1"/>
  <c r="L18" i="1" s="1"/>
  <c r="H19" i="1"/>
  <c r="K19" i="1" s="1"/>
  <c r="L19" i="1" s="1"/>
  <c r="H20" i="1"/>
  <c r="K20" i="1" s="1"/>
  <c r="L20" i="1" s="1"/>
  <c r="H21" i="1"/>
  <c r="K21" i="1" s="1"/>
  <c r="L21" i="1" s="1"/>
  <c r="H22" i="1"/>
  <c r="K22" i="1" s="1"/>
  <c r="L22" i="1" s="1"/>
  <c r="H23" i="1"/>
  <c r="K23" i="1" s="1"/>
  <c r="L23" i="1" s="1"/>
  <c r="H24" i="1"/>
  <c r="K24" i="1" s="1"/>
  <c r="L24" i="1" s="1"/>
  <c r="H25" i="1"/>
  <c r="K25" i="1" s="1"/>
  <c r="L25" i="1" s="1"/>
  <c r="H26" i="1"/>
  <c r="K26" i="1" s="1"/>
  <c r="L26" i="1" s="1"/>
  <c r="H27" i="1"/>
  <c r="K27" i="1" s="1"/>
  <c r="L27" i="1" s="1"/>
  <c r="H28" i="1"/>
  <c r="K28" i="1" s="1"/>
  <c r="L28" i="1" s="1"/>
  <c r="H29" i="1"/>
  <c r="K29" i="1" s="1"/>
  <c r="L29" i="1" s="1"/>
  <c r="H30" i="1"/>
  <c r="K30" i="1" s="1"/>
  <c r="L30" i="1" s="1"/>
  <c r="H31" i="1"/>
  <c r="K31" i="1" s="1"/>
  <c r="L31" i="1" s="1"/>
  <c r="H32" i="1"/>
  <c r="K32" i="1" s="1"/>
  <c r="L32" i="1" s="1"/>
  <c r="H33" i="1"/>
  <c r="K33" i="1" s="1"/>
  <c r="L33" i="1" s="1"/>
  <c r="H34" i="1"/>
  <c r="K34" i="1" s="1"/>
  <c r="L34" i="1" s="1"/>
  <c r="H35" i="1"/>
  <c r="K35" i="1" s="1"/>
  <c r="L35" i="1" s="1"/>
  <c r="H36" i="1"/>
  <c r="K36" i="1" s="1"/>
  <c r="L36" i="1" s="1"/>
  <c r="H37" i="1"/>
  <c r="K37" i="1" s="1"/>
  <c r="L37" i="1" s="1"/>
  <c r="H38" i="1"/>
  <c r="K38" i="1" s="1"/>
  <c r="L38" i="1" s="1"/>
  <c r="H39" i="1"/>
  <c r="K39" i="1" s="1"/>
  <c r="L39" i="1" s="1"/>
  <c r="H40" i="1"/>
  <c r="K40" i="1" s="1"/>
  <c r="L40" i="1" s="1"/>
  <c r="H41" i="1"/>
  <c r="K41" i="1" s="1"/>
  <c r="L41" i="1" s="1"/>
  <c r="H42" i="1"/>
  <c r="K42" i="1" s="1"/>
  <c r="L42" i="1" s="1"/>
  <c r="H43" i="1"/>
  <c r="K43" i="1" s="1"/>
  <c r="L43" i="1" s="1"/>
  <c r="H44" i="1"/>
  <c r="K44" i="1" s="1"/>
  <c r="L44" i="1" s="1"/>
  <c r="H45" i="1"/>
  <c r="K45" i="1" s="1"/>
  <c r="L45" i="1" s="1"/>
  <c r="H46" i="1"/>
  <c r="K46" i="1" s="1"/>
  <c r="L46" i="1" s="1"/>
  <c r="H47" i="1"/>
  <c r="K47" i="1" s="1"/>
  <c r="L47" i="1" s="1"/>
  <c r="H48" i="1"/>
  <c r="K48" i="1" s="1"/>
  <c r="L48" i="1" s="1"/>
  <c r="H49" i="1"/>
  <c r="K49" i="1" s="1"/>
  <c r="L49" i="1" s="1"/>
  <c r="H50" i="1"/>
  <c r="K50" i="1" s="1"/>
  <c r="L50" i="1" s="1"/>
  <c r="H51" i="1"/>
  <c r="K51" i="1" s="1"/>
  <c r="L51" i="1" s="1"/>
  <c r="H52" i="1"/>
  <c r="K52" i="1" s="1"/>
  <c r="L52" i="1" s="1"/>
  <c r="H53" i="1"/>
  <c r="K53" i="1" s="1"/>
  <c r="L53" i="1" s="1"/>
  <c r="H54" i="1"/>
  <c r="K54" i="1" s="1"/>
  <c r="L54" i="1" s="1"/>
  <c r="H55" i="1"/>
  <c r="K55" i="1" s="1"/>
  <c r="L55" i="1" s="1"/>
  <c r="H56" i="1"/>
  <c r="K56" i="1" s="1"/>
  <c r="L56" i="1" s="1"/>
  <c r="H57" i="1"/>
  <c r="K57" i="1" s="1"/>
  <c r="L57" i="1" s="1"/>
  <c r="H58" i="1"/>
  <c r="K58" i="1" s="1"/>
  <c r="L58" i="1" s="1"/>
  <c r="H59" i="1"/>
  <c r="K59" i="1" s="1"/>
  <c r="L59" i="1" s="1"/>
  <c r="H60" i="1"/>
  <c r="K60" i="1" s="1"/>
  <c r="L60" i="1" s="1"/>
  <c r="H61" i="1"/>
  <c r="K61" i="1" s="1"/>
  <c r="L61" i="1" s="1"/>
  <c r="H62" i="1"/>
  <c r="K62" i="1" s="1"/>
  <c r="L62" i="1" s="1"/>
  <c r="H63" i="1"/>
  <c r="K63" i="1" s="1"/>
  <c r="L63" i="1" s="1"/>
  <c r="H64" i="1"/>
  <c r="H65" i="1"/>
  <c r="H66" i="1"/>
  <c r="H67" i="1"/>
  <c r="H68" i="1"/>
  <c r="H69" i="1"/>
  <c r="H70" i="1"/>
  <c r="H71" i="1"/>
  <c r="H72" i="1"/>
  <c r="H73" i="1"/>
  <c r="H74" i="1"/>
  <c r="H75" i="1"/>
  <c r="H76" i="1"/>
  <c r="H77" i="1"/>
  <c r="H78" i="1"/>
  <c r="H79" i="1"/>
  <c r="H80" i="1"/>
  <c r="I78" i="1" l="1"/>
  <c r="J78" i="1" s="1"/>
  <c r="J20" i="7" s="1"/>
  <c r="K20" i="7" s="1"/>
  <c r="K78" i="1"/>
  <c r="L78" i="1" s="1"/>
  <c r="I73" i="1"/>
  <c r="J73" i="1" s="1"/>
  <c r="K73" i="1"/>
  <c r="L73" i="1" s="1"/>
  <c r="I65" i="1"/>
  <c r="J65" i="1" s="1"/>
  <c r="K65" i="1"/>
  <c r="L65" i="1" s="1"/>
  <c r="I79" i="1"/>
  <c r="J79" i="1" s="1"/>
  <c r="K79" i="1"/>
  <c r="L79" i="1" s="1"/>
  <c r="I67" i="1"/>
  <c r="J67" i="1" s="1"/>
  <c r="K67" i="1"/>
  <c r="L67" i="1" s="1"/>
  <c r="I77" i="1"/>
  <c r="J77" i="1" s="1"/>
  <c r="K77" i="1"/>
  <c r="L77" i="1" s="1"/>
  <c r="I69" i="1"/>
  <c r="J69" i="1" s="1"/>
  <c r="K69" i="1"/>
  <c r="L69" i="1" s="1"/>
  <c r="I80" i="1"/>
  <c r="J80" i="1" s="1"/>
  <c r="K80" i="1"/>
  <c r="L80" i="1" s="1"/>
  <c r="I76" i="1"/>
  <c r="J76" i="1" s="1"/>
  <c r="K76" i="1"/>
  <c r="L76" i="1" s="1"/>
  <c r="I72" i="1"/>
  <c r="J72" i="1" s="1"/>
  <c r="K72" i="1"/>
  <c r="L72" i="1" s="1"/>
  <c r="I68" i="1"/>
  <c r="J68" i="1" s="1"/>
  <c r="K68" i="1"/>
  <c r="L68" i="1" s="1"/>
  <c r="I64" i="1"/>
  <c r="J64" i="1" s="1"/>
  <c r="K64" i="1"/>
  <c r="L64" i="1" s="1"/>
  <c r="I71" i="1"/>
  <c r="J71" i="1" s="1"/>
  <c r="K71" i="1"/>
  <c r="L71" i="1" s="1"/>
  <c r="I75" i="1"/>
  <c r="J75" i="1" s="1"/>
  <c r="K75" i="1"/>
  <c r="L75" i="1" s="1"/>
  <c r="I74" i="1"/>
  <c r="J74" i="1" s="1"/>
  <c r="K74" i="1"/>
  <c r="L74" i="1" s="1"/>
  <c r="I70" i="1"/>
  <c r="J70" i="1" s="1"/>
  <c r="K70" i="1"/>
  <c r="L70" i="1" s="1"/>
  <c r="I66" i="1"/>
  <c r="J66" i="1" s="1"/>
  <c r="K66" i="1"/>
  <c r="L66" i="1" s="1"/>
  <c r="M57" i="7"/>
  <c r="C47" i="7"/>
  <c r="J46" i="7"/>
  <c r="I46" i="7"/>
  <c r="H46" i="7"/>
  <c r="G46" i="7"/>
  <c r="F46" i="7"/>
  <c r="J45" i="7"/>
  <c r="I45" i="7"/>
  <c r="H45" i="7"/>
  <c r="G45" i="7"/>
  <c r="F45" i="7"/>
  <c r="J44" i="7"/>
  <c r="I44" i="7"/>
  <c r="H44" i="7"/>
  <c r="G44" i="7"/>
  <c r="F44" i="7"/>
  <c r="J43" i="7"/>
  <c r="I43" i="7"/>
  <c r="H43" i="7"/>
  <c r="G43" i="7"/>
  <c r="F43" i="7"/>
  <c r="J42" i="7"/>
  <c r="I42" i="7"/>
  <c r="H42" i="7"/>
  <c r="G42" i="7"/>
  <c r="F42" i="7"/>
  <c r="J41" i="7"/>
  <c r="I41" i="7"/>
  <c r="H41" i="7"/>
  <c r="G41" i="7"/>
  <c r="F41" i="7"/>
  <c r="J40" i="7"/>
  <c r="I40" i="7"/>
  <c r="H40" i="7"/>
  <c r="G40" i="7"/>
  <c r="F40" i="7"/>
  <c r="J39" i="7"/>
  <c r="I39" i="7"/>
  <c r="H39" i="7"/>
  <c r="G39" i="7"/>
  <c r="F39" i="7"/>
  <c r="J38" i="7"/>
  <c r="I38" i="7"/>
  <c r="H38" i="7"/>
  <c r="G38" i="7"/>
  <c r="F38" i="7"/>
  <c r="J37" i="7"/>
  <c r="I37" i="7"/>
  <c r="H37" i="7"/>
  <c r="G37" i="7"/>
  <c r="F37" i="7"/>
  <c r="J36" i="7"/>
  <c r="I36" i="7"/>
  <c r="H36" i="7"/>
  <c r="G36" i="7"/>
  <c r="F36" i="7"/>
  <c r="C31" i="7"/>
  <c r="K31" i="7" l="1"/>
  <c r="P47" i="7"/>
  <c r="M51" i="7" s="1"/>
  <c r="M52" i="7" s="1"/>
  <c r="L8" i="5"/>
  <c r="K10" i="5"/>
  <c r="M56" i="7" l="1"/>
  <c r="M58" i="7"/>
  <c r="C62" i="2"/>
  <c r="C32" i="2"/>
  <c r="L9" i="5"/>
  <c r="N21" i="5"/>
  <c r="N20" i="5"/>
  <c r="M10" i="5"/>
  <c r="N10" i="5" s="1"/>
  <c r="L10" i="5"/>
  <c r="L20" i="5"/>
  <c r="L11" i="5"/>
  <c r="L12" i="5"/>
  <c r="L21" i="5"/>
  <c r="L13" i="5"/>
  <c r="I19" i="1" l="1"/>
  <c r="J19" i="1" s="1"/>
  <c r="I59" i="1"/>
  <c r="J59" i="1" s="1"/>
  <c r="I10" i="1" l="1"/>
  <c r="J10" i="1" s="1"/>
  <c r="I11" i="1"/>
  <c r="J11" i="1" s="1"/>
  <c r="I12" i="1"/>
  <c r="J12" i="1" s="1"/>
  <c r="I13" i="1"/>
  <c r="J13" i="1" s="1"/>
  <c r="I14" i="1"/>
  <c r="J14" i="1" s="1"/>
  <c r="I15" i="1"/>
  <c r="J15" i="1" s="1"/>
  <c r="I16" i="1"/>
  <c r="J16" i="1" s="1"/>
  <c r="I17" i="1"/>
  <c r="J17" i="1" s="1"/>
  <c r="I18" i="1"/>
  <c r="J18" i="1" s="1"/>
  <c r="I20" i="1"/>
  <c r="J20" i="1" s="1"/>
  <c r="I21" i="1"/>
  <c r="J21" i="1" s="1"/>
  <c r="I22" i="1"/>
  <c r="J22" i="1" s="1"/>
  <c r="I23" i="1"/>
  <c r="J23" i="1" s="1"/>
  <c r="I24" i="1"/>
  <c r="J24" i="1" s="1"/>
  <c r="I25" i="1"/>
  <c r="J25" i="1" s="1"/>
  <c r="I26" i="1"/>
  <c r="J26" i="1" s="1"/>
  <c r="I27" i="1"/>
  <c r="J27" i="1" s="1"/>
  <c r="I28" i="1"/>
  <c r="J28" i="1" s="1"/>
  <c r="I29" i="1"/>
  <c r="J29" i="1" s="1"/>
  <c r="I30" i="1"/>
  <c r="J30" i="1" s="1"/>
  <c r="I31" i="1"/>
  <c r="J31" i="1" s="1"/>
  <c r="I32" i="1"/>
  <c r="J32" i="1" s="1"/>
  <c r="I33" i="1"/>
  <c r="J33" i="1" s="1"/>
  <c r="I34" i="1"/>
  <c r="J34" i="1" s="1"/>
  <c r="I35" i="1"/>
  <c r="J35" i="1" s="1"/>
  <c r="I36" i="1"/>
  <c r="J36" i="1" s="1"/>
  <c r="I37" i="1"/>
  <c r="J37" i="1" s="1"/>
  <c r="I38" i="1"/>
  <c r="J38" i="1" s="1"/>
  <c r="I39" i="1"/>
  <c r="J39" i="1" s="1"/>
  <c r="I40" i="1"/>
  <c r="J40" i="1" s="1"/>
  <c r="I41" i="1"/>
  <c r="J41" i="1" s="1"/>
  <c r="I42" i="1"/>
  <c r="J42" i="1" s="1"/>
  <c r="I43" i="1"/>
  <c r="J43" i="1" s="1"/>
  <c r="I44" i="1"/>
  <c r="J44" i="1" s="1"/>
  <c r="I45" i="1"/>
  <c r="J45" i="1" s="1"/>
  <c r="I60" i="1"/>
  <c r="J60" i="1" s="1"/>
  <c r="I61" i="1"/>
  <c r="J61" i="1" s="1"/>
  <c r="I62" i="1"/>
  <c r="J62" i="1" s="1"/>
  <c r="I63" i="1"/>
  <c r="J63" i="1" s="1"/>
  <c r="I9" i="1"/>
  <c r="J9" i="1" s="1"/>
  <c r="I55" i="1" l="1"/>
  <c r="J55" i="1" s="1"/>
  <c r="I51" i="1"/>
  <c r="J51" i="1" s="1"/>
  <c r="I47" i="1"/>
  <c r="J47" i="1" s="1"/>
  <c r="I58" i="1"/>
  <c r="J58" i="1" s="1"/>
  <c r="I54" i="1"/>
  <c r="J54" i="1" s="1"/>
  <c r="I50" i="1"/>
  <c r="J50" i="1" s="1"/>
  <c r="I46" i="1"/>
  <c r="J46" i="1" s="1"/>
  <c r="I57" i="1"/>
  <c r="J57" i="1" s="1"/>
  <c r="I53" i="1"/>
  <c r="J53" i="1" s="1"/>
  <c r="I49" i="1"/>
  <c r="J49" i="1" s="1"/>
  <c r="I56" i="1"/>
  <c r="J56" i="1" s="1"/>
  <c r="I52" i="1"/>
  <c r="J52" i="1" s="1"/>
  <c r="I48" i="1"/>
  <c r="J48" i="1" s="1"/>
  <c r="O73" i="2" l="1"/>
  <c r="O78" i="2" l="1"/>
</calcChain>
</file>

<file path=xl/sharedStrings.xml><?xml version="1.0" encoding="utf-8"?>
<sst xmlns="http://schemas.openxmlformats.org/spreadsheetml/2006/main" count="623" uniqueCount="335">
  <si>
    <t>E-Fahrzeug</t>
  </si>
  <si>
    <t>Netto-Listenpreis inkl. Batterie</t>
  </si>
  <si>
    <t>Konventionelles Vergleichsmodell</t>
  </si>
  <si>
    <t>Fahrzeugsegment</t>
  </si>
  <si>
    <t>Segmente</t>
  </si>
  <si>
    <t>MINIS</t>
  </si>
  <si>
    <t>KLEINWAGEN</t>
  </si>
  <si>
    <t>KOMPAKTKLASSE</t>
  </si>
  <si>
    <t>MITTELKLASSE</t>
  </si>
  <si>
    <t>OBERE MITTELKLASSE</t>
  </si>
  <si>
    <t>OBERKLASSE</t>
  </si>
  <si>
    <t>SUVs</t>
  </si>
  <si>
    <t>GELÄNDEWAGEN</t>
  </si>
  <si>
    <t>SPORTWAGEN</t>
  </si>
  <si>
    <t>MINI-VANs</t>
  </si>
  <si>
    <t>GROSSRAUM-VANS</t>
  </si>
  <si>
    <t>UTILITIES</t>
  </si>
  <si>
    <t>WOHNMOBILE</t>
  </si>
  <si>
    <t>SONSTIGE</t>
  </si>
  <si>
    <t>Citroen C-Zero</t>
  </si>
  <si>
    <t>Citroen C1 VTI 68 Shine</t>
  </si>
  <si>
    <t>Mitsubishi Electric Vehicle</t>
  </si>
  <si>
    <t>Mitsubishi  Space Star 1.0  5tg</t>
  </si>
  <si>
    <t>Peugeot  108 Active Vti 68 5tg</t>
  </si>
  <si>
    <t>Tesla Model S 75 D</t>
  </si>
  <si>
    <t>BMW 530 i xDrive A</t>
  </si>
  <si>
    <t>Audi A3 Sportback e-tron</t>
  </si>
  <si>
    <t xml:space="preserve">Mitsubishi  Outlander 2.0 MIVEC CT </t>
  </si>
  <si>
    <t>Renault Zoe Life  Z.E.40 Batterie</t>
  </si>
  <si>
    <t>Streetscooter Work</t>
  </si>
  <si>
    <t>Streetscooter Work L</t>
  </si>
  <si>
    <t>BMW 225xe iPerformance Active Tourer</t>
  </si>
  <si>
    <t>Tesla Model X 75D</t>
  </si>
  <si>
    <t>BMW X5 xDrive 35i</t>
  </si>
  <si>
    <t>BMW X5 xDrive 50i</t>
  </si>
  <si>
    <t>Mercedes C 300 T-Modell 180 kW</t>
  </si>
  <si>
    <t>Volkswagen e-load up!</t>
  </si>
  <si>
    <t>Übersicht der verfügbaren Elektrofahrzeuge</t>
  </si>
  <si>
    <t>inklusive der konventionellen Vergleichsmodelle</t>
  </si>
  <si>
    <t>Netto-Listenpreis
Vergleichsmodell</t>
  </si>
  <si>
    <t>Stand: Dezember 2017</t>
  </si>
  <si>
    <t>Anzahl</t>
  </si>
  <si>
    <t>Mittleres Unternehmen</t>
  </si>
  <si>
    <t>Großunternehmen</t>
  </si>
  <si>
    <t>bitte wählen</t>
  </si>
  <si>
    <t>Unternehmenskategorie:</t>
  </si>
  <si>
    <t>Unternehmenskategorie</t>
  </si>
  <si>
    <t>Zahl der Mitarbeiter</t>
  </si>
  <si>
    <t>Umsatz</t>
  </si>
  <si>
    <t>oder</t>
  </si>
  <si>
    <t>Bilanzsumme</t>
  </si>
  <si>
    <t>unter 250</t>
  </si>
  <si>
    <t>höchstens 43 Mio. €</t>
  </si>
  <si>
    <t>unter 50</t>
  </si>
  <si>
    <t>höchstens 10 Mio. €</t>
  </si>
  <si>
    <t>Kleinunternehmen</t>
  </si>
  <si>
    <t>höchstens 50 Mio. €</t>
  </si>
  <si>
    <t>höchstens 10 Mio. €</t>
  </si>
  <si>
    <t>FQ</t>
  </si>
  <si>
    <t>-</t>
  </si>
  <si>
    <t>Abzug bei Pauschale</t>
  </si>
  <si>
    <t>Referenzmodelle</t>
  </si>
  <si>
    <t>Zuwendung</t>
  </si>
  <si>
    <t>Lfd. Nr.</t>
  </si>
  <si>
    <t xml:space="preserve">VW Caddy Kastenwagen KR 1.2 TSI </t>
  </si>
  <si>
    <t>Firma:</t>
  </si>
  <si>
    <t>voraussichtliche Gesamtzuwendung des Vorhabens:</t>
  </si>
  <si>
    <t>voraussichtliche Förderquote des Vorhabens:</t>
  </si>
  <si>
    <t>Projekttitel:</t>
  </si>
  <si>
    <t>Kurztitel:</t>
  </si>
  <si>
    <t>Kategorie</t>
  </si>
  <si>
    <t>Ladetechnologie</t>
  </si>
  <si>
    <t xml:space="preserve">Ladeleistung </t>
  </si>
  <si>
    <t>Standard</t>
  </si>
  <si>
    <t>Anbindung Abrechnungsdienst</t>
  </si>
  <si>
    <t xml:space="preserve">Lastmanagment </t>
  </si>
  <si>
    <t>Hersteller</t>
  </si>
  <si>
    <t>Typ</t>
  </si>
  <si>
    <t>Nettolistenpreis</t>
  </si>
  <si>
    <t>Wallbox</t>
  </si>
  <si>
    <t>AC</t>
  </si>
  <si>
    <t>2,3 bis 22</t>
  </si>
  <si>
    <t>nein</t>
  </si>
  <si>
    <t>Keba</t>
  </si>
  <si>
    <t xml:space="preserve">98.125 KeContact P30 b-series </t>
  </si>
  <si>
    <t>11 und 22</t>
  </si>
  <si>
    <t>ja</t>
  </si>
  <si>
    <t>TheNewMotion</t>
  </si>
  <si>
    <t>Business Pro</t>
  </si>
  <si>
    <t>98.101 KeContact P30 x-series (22kW, Steckdose Typ2, Ethernet)</t>
  </si>
  <si>
    <t>Mennekes</t>
  </si>
  <si>
    <t>Ladesäule Basic 11</t>
  </si>
  <si>
    <t>Ladesäule Basic 22</t>
  </si>
  <si>
    <t>AMTRON® Premium 11</t>
  </si>
  <si>
    <t>Ladesäule Smart 22</t>
  </si>
  <si>
    <t>Ladeinfrastrukturkostenpauschale</t>
  </si>
  <si>
    <t>Installationskosten</t>
  </si>
  <si>
    <t>Installationskostenpauschale</t>
  </si>
  <si>
    <t>Hinweis</t>
  </si>
  <si>
    <t>inklusive Stromliefervertrag</t>
  </si>
  <si>
    <t>Ubitrcity</t>
  </si>
  <si>
    <t>SmartCable SimpleSocket</t>
  </si>
  <si>
    <t>Wallbox (basic)</t>
  </si>
  <si>
    <t>Wallbox (smart)</t>
  </si>
  <si>
    <t>Ladepunkte</t>
  </si>
  <si>
    <t>Mobiles Ladekabel (smart)</t>
  </si>
  <si>
    <t>S</t>
  </si>
  <si>
    <t>Ladestation (basic; 11 kW)</t>
  </si>
  <si>
    <t>Ladestation (basic; 22 kW)</t>
  </si>
  <si>
    <t>Ladetech-
nologie</t>
  </si>
  <si>
    <t>Förder-quote</t>
  </si>
  <si>
    <t>Ansätze zur pauschalen Förderung von Ladeinfrastruktur</t>
  </si>
  <si>
    <t>Summe</t>
  </si>
  <si>
    <t>Volkswagen Golf GTE</t>
  </si>
  <si>
    <t>Volkswagen e-Golf</t>
  </si>
  <si>
    <t>BMW  118i 5-Türer</t>
  </si>
  <si>
    <t>Nissan Pulsar Visia 1.2</t>
  </si>
  <si>
    <t>Ladestation (smart; 22kW)</t>
  </si>
  <si>
    <t>Installationspauschale</t>
  </si>
  <si>
    <t>*</t>
  </si>
  <si>
    <t>Datum der Berechnung:</t>
  </si>
  <si>
    <t>Versionsnummer</t>
  </si>
  <si>
    <t xml:space="preserve">Beschreibung der Änderungen </t>
  </si>
  <si>
    <t>Verantwortlicher</t>
  </si>
  <si>
    <t>Datum der Änderung</t>
  </si>
  <si>
    <t>0.6</t>
  </si>
  <si>
    <t>Schaller</t>
  </si>
  <si>
    <t>© VDI/VDE-IT GmbH</t>
  </si>
  <si>
    <t>Berechnungstool zur Berechnung der Investitionsmehrkosten nach pauschaliertem Ansatz</t>
  </si>
  <si>
    <t>Berechnungstool zur Berechnung der Investitionsmehrkosten nach individuellem Ansatz</t>
  </si>
  <si>
    <t>Referenzfahrzeug</t>
  </si>
  <si>
    <t>Gewünschtes 
E-Fahrzeug</t>
  </si>
  <si>
    <t>Änderungen an Referenzliste; Einbau Install.pauschalen (500/1000); Änderungen am Aufbau der Tabellen; Text zur Bedienung
Versionkontrolle und Versionierung; Erster Ansatz individuelle Kalkulation</t>
  </si>
  <si>
    <t>1. Auswahl der gewünschten Anzahl und Modell der Elektrofahrzeuge</t>
  </si>
  <si>
    <t>0.7</t>
  </si>
  <si>
    <t>Bearbeitung der Texte zur Bedienung;</t>
  </si>
  <si>
    <t>Vergleich E-Fzg Referenz</t>
  </si>
  <si>
    <t>Diese Werte sind in das Skizzeneinreichungstool Positron:S zu übertragen.</t>
  </si>
  <si>
    <t>Anzahl der Ladepunkte</t>
  </si>
  <si>
    <t>Anlage 1 Berechnung der Zuwendung</t>
  </si>
  <si>
    <t>über 250</t>
  </si>
  <si>
    <t>Mitarbeiterzahlen und finanzielle Schwellenwerte zur Definition der Unternehmenskategorien</t>
  </si>
  <si>
    <t>1.</t>
  </si>
  <si>
    <t>Die Kategorie der Kleinstunternehmen sowie der kleinen und mittleren Unternehmen (KMU) setzt sich aus Unter</t>
  </si>
  <si>
    <t>nehmen zusammen, die weniger als 250 Personen beschäftigen und die entweder einen Jahresumsatz von höchstens</t>
  </si>
  <si>
    <t>50 Mio. EUR erzielen oder deren Jahresbilanzsumme sich auf höchstens 43 Mio. EUR beläuft.</t>
  </si>
  <si>
    <t>2.</t>
  </si>
  <si>
    <t>Innerhalb der Kategorie der KMU wird ein kleines Unternehmen als ein Unternehmen definiert, das weniger als</t>
  </si>
  <si>
    <t>50 Personen beschäftigt und dessen Jahresumsatz beziehungsweise Jahresbilanz 10 Mio. EUR nicht übersteigt.</t>
  </si>
  <si>
    <t>3.</t>
  </si>
  <si>
    <t>Innerhalb der Kategorie der KMU wird ein Kleinstunternehmen als ein Unternehmen definiert, das weniger als</t>
  </si>
  <si>
    <t>10 Personen beschäftigt und dessen Jahresumsatz beziehungsweise Jahresbilanz 2 Mio. EUR nicht überschreitet.</t>
  </si>
  <si>
    <t>Artikel 2</t>
  </si>
  <si>
    <t>Verordnung EU 651/2014 S. 70 Art. 2</t>
  </si>
  <si>
    <t>über 50 Mio. €</t>
  </si>
  <si>
    <t>über 43 Mio. €</t>
  </si>
  <si>
    <t>Gewünschtes Elektrofahrzeug</t>
  </si>
  <si>
    <t>1. Auswahl der gewünschten Anzahl und des Modells der Elektrofahrzeuge</t>
  </si>
  <si>
    <t>2. Auswahl der gewünschten Anzahl und der Kategorie der Ladeinfrastruktur</t>
  </si>
  <si>
    <t>Ladeleistung 
in kW</t>
  </si>
  <si>
    <t>Anbindung / Abrechnungs-dienst</t>
  </si>
  <si>
    <t>3. Installationskostenpauschale gemäß der ausgewählten Infrastruktur</t>
  </si>
  <si>
    <t>2. Auswahl der gewünschten Anzahl und der Art der Ladeinfrastruktur</t>
  </si>
  <si>
    <t>Maximale Pauschale</t>
  </si>
  <si>
    <t>0.8</t>
  </si>
  <si>
    <t>Blattschutzoptimierung; Implementierung maximale pauschale Zuwendung iHv 10.000</t>
  </si>
  <si>
    <t>BMW 330e iPerformance Limousine</t>
  </si>
  <si>
    <t>BMW 530e iPerformance Limousine</t>
  </si>
  <si>
    <t>BMW 740e, Le (ohne xDrive)</t>
  </si>
  <si>
    <t>BMW i3 (94Ah)</t>
  </si>
  <si>
    <t>BMW i3 Range Extender (94Ah)</t>
  </si>
  <si>
    <t>BMW i3s (94Ah)</t>
  </si>
  <si>
    <t>BMW i3s Range Extender (94Ah)</t>
  </si>
  <si>
    <t>Citroen Berlingo Electric L2</t>
  </si>
  <si>
    <t>Citroen Berlingo Electric L2, Batterie zur Miete</t>
  </si>
  <si>
    <t>Citroen Berlingo Electric LI</t>
  </si>
  <si>
    <t>Citroen Berlingo Electric LI, Batterie zur Miete</t>
  </si>
  <si>
    <t>Ford Focus electric</t>
  </si>
  <si>
    <t>Hyundai IONIQ Elektro Trend</t>
  </si>
  <si>
    <t>Hyundai IONIQ Plug-in-Hybrid 1.6 GDI Trend</t>
  </si>
  <si>
    <t>Kia Optima 2.0 GDI Plug-in Hybrid Attract</t>
  </si>
  <si>
    <t>Kia Soul EV Plug</t>
  </si>
  <si>
    <t xml:space="preserve">Mercedes Benz C350e (T) </t>
  </si>
  <si>
    <t>MINI Cooper SE Countryman ALL4 Automatik</t>
  </si>
  <si>
    <t xml:space="preserve">Mitsubishi Outlander Plug-in Hybrid  2.0 4WD </t>
  </si>
  <si>
    <t>Nissan e-NV200 Evalia 5-Sitzer</t>
  </si>
  <si>
    <t>Nissan e-NV200 Evalia 5-Sitzer,  Batterie zur Miete</t>
  </si>
  <si>
    <t>Nissan e-NV200 Evalia 7-Sitzer</t>
  </si>
  <si>
    <t>Nissan e-NV200 Evalia 7-Sitzer,  Batterie zur Miete</t>
  </si>
  <si>
    <t>Nissan e-NV200 Kasten</t>
  </si>
  <si>
    <t>Nissan e-NV200 Kasten, Batterie zur Miete</t>
  </si>
  <si>
    <t>Nissan e-NV200 Kombi</t>
  </si>
  <si>
    <t>Nissan e-NV200 Kombi, Batterie zur Miete</t>
  </si>
  <si>
    <t>Nissan Leaf (24 kwh)</t>
  </si>
  <si>
    <t>Nissan Leaf (24 kwh), Batterie zur Miete</t>
  </si>
  <si>
    <t>Nissan Leaf (30 kwh)</t>
  </si>
  <si>
    <t>Nissan Leaf (30 kwh), Batterie zur Miete</t>
  </si>
  <si>
    <t>Nissan Leaf (40 kwh)</t>
  </si>
  <si>
    <t>Opel Ampera-E Innovation</t>
  </si>
  <si>
    <t>Peugeot iOn Active</t>
  </si>
  <si>
    <t>Peugeot Partner Electric Kastenwagen L1</t>
  </si>
  <si>
    <t>Peugeot Partner Electric Kastenwagen L2</t>
  </si>
  <si>
    <t>Piaggio Porter Elektro (alle Versionen)</t>
  </si>
  <si>
    <t>Renault Zoe Life  Z.E.22 Batterie</t>
  </si>
  <si>
    <t>Renault Zoe Life  Z.E.22, Batterie zur Miete</t>
  </si>
  <si>
    <t>Renault Zoe Life  Z.E.40, Batterie zur Miete</t>
  </si>
  <si>
    <t>Renualt  Kangoo Z.E. 33 2-Sitzer</t>
  </si>
  <si>
    <t>Renualt  Kangoo Z.E. 33 2-Sitzer, Batterie zur Miete</t>
  </si>
  <si>
    <t>Renualt  Kangoo Z.E. 33 Maxi 2-Sitzer</t>
  </si>
  <si>
    <t>Renualt  Kangoo Z.E. 33 Maxi 2-Sitzer, Batterie zur Miete</t>
  </si>
  <si>
    <t>Renualt  Kangoo Z.E. 33 Maxi 5-Sitzer</t>
  </si>
  <si>
    <t>Renualt  Kangoo Z.E. 33 Maxi 5-Sitzer Doppelkabine</t>
  </si>
  <si>
    <t>Renualt  Kangoo Z.E. 33 Maxi 5-Sitzer Doppelkabine, Batterie zur Miete</t>
  </si>
  <si>
    <t>Renualt  Kangoo Z.E. 33 Maxi 5-Sitzer, Batterie zur Miete</t>
  </si>
  <si>
    <t>smart forfour electric drive</t>
  </si>
  <si>
    <t>smart fortwo electric drive coupe</t>
  </si>
  <si>
    <t>Tesla Model S (P)100 D</t>
  </si>
  <si>
    <t>Tesla Model X (P)100D</t>
  </si>
  <si>
    <t>Toyota Prius Plug-in Hybrid (alle Modelle)</t>
  </si>
  <si>
    <t>Volkswagen e-up</t>
  </si>
  <si>
    <t>Volkswagen Passat GTE</t>
  </si>
  <si>
    <t>Volvo S90 T8 TWIN ENGINE AWD</t>
  </si>
  <si>
    <t>Volvo V60 D6 TWIN ENGINE AWD</t>
  </si>
  <si>
    <t>Volvo XC 90 T8 TWIN ENGINE AWD</t>
  </si>
  <si>
    <t>Audi  A3 Sportback 1.5 TFSI  cylinder on demand</t>
  </si>
  <si>
    <t>BMW 220i Active Tourer</t>
  </si>
  <si>
    <t>BMW 320i Limousine 135 kW</t>
  </si>
  <si>
    <t>BMW 520i Limousine 135 kW</t>
  </si>
  <si>
    <t>BMW 740i Limousine</t>
  </si>
  <si>
    <t>BMW 120i 5-Türer</t>
  </si>
  <si>
    <t>Citroen Berlingo LI  VTi 95 (72 kW)</t>
  </si>
  <si>
    <t xml:space="preserve">Citroen Berlingo LI  VTi 95 (72 kW) </t>
  </si>
  <si>
    <t>Ford Focus Trend</t>
  </si>
  <si>
    <t>Hyundai i30 1.4 Frontantrieb Trend</t>
  </si>
  <si>
    <t>Hyundai i30 1.4 T-GDI Frontantrieb Trend</t>
  </si>
  <si>
    <t>Kia Optima 2.0 CWL Edition 7</t>
  </si>
  <si>
    <t>KIA Soul 1.6GDI Edition 7</t>
  </si>
  <si>
    <t>Mini Countrymen Cooper S</t>
  </si>
  <si>
    <t>Nissan NV200 Evalia 5-Sltzer Acenta</t>
  </si>
  <si>
    <t>Nissan NV200 Evalia 5-Sitzer Acenta</t>
  </si>
  <si>
    <t>Nissan NV200 Evalia 7-Sitzer Tekna</t>
  </si>
  <si>
    <t>Nissan NV200 Kasten</t>
  </si>
  <si>
    <t>Nissan NV200 Kombi</t>
  </si>
  <si>
    <t>Opel Crossland  X 1.2 Direct Injection Turbo 96 kW Crossland X 1.2 Start/Stop Edition</t>
  </si>
  <si>
    <t>Peugeot Partner Kastenwagen L1</t>
  </si>
  <si>
    <t>Peugeot Partner Kastenwagen L2</t>
  </si>
  <si>
    <t>Piaggio Porter (alle Versionen)</t>
  </si>
  <si>
    <t>Renault Clio Limited 1.2 16V 75</t>
  </si>
  <si>
    <t>Renault  Kangoo Rapid ENERGY TCe115 84kW (Basis)</t>
  </si>
  <si>
    <t>Renault  Kangoo Rapid Maxi ENERGY dCi 90 66kW</t>
  </si>
  <si>
    <t>Renault  Kangoo Rapid Maxi ENERGY dCi 90 66kW (Combi Extra)</t>
  </si>
  <si>
    <t>Renault  Kangoo Rapid Maxi ENERGY dCi 90 66kW (Doppelkabine)</t>
  </si>
  <si>
    <t>smart forfour 52 kW</t>
  </si>
  <si>
    <t>smart fortwo 52 kW coupe</t>
  </si>
  <si>
    <t>VW Transporter Kastenwagen TSI 110 kW</t>
  </si>
  <si>
    <t>Toyota Corolla Executive</t>
  </si>
  <si>
    <t>VW Golf 1.4 TSI Join</t>
  </si>
  <si>
    <t>VW Up 1.0 55 kW BMT  move up!</t>
  </si>
  <si>
    <t>VW Golf Comfortline 1.5 TSI ACT DSG</t>
  </si>
  <si>
    <t>Volkswagen Passat 1.4 TSI DSG Comfortline</t>
  </si>
  <si>
    <t xml:space="preserve">Volvo S90 T6 AWD Momentum       </t>
  </si>
  <si>
    <t xml:space="preserve">Volvo V60 D5 Momentum        </t>
  </si>
  <si>
    <t xml:space="preserve">Volvo V90T6 AWD Momentum        </t>
  </si>
  <si>
    <t xml:space="preserve">Volvo XC 60 T6 AWD Momentum      </t>
  </si>
  <si>
    <t xml:space="preserve">Volvo XC 90 T6 AWD Momentum      </t>
  </si>
  <si>
    <t>Stand: Januar 2018</t>
  </si>
  <si>
    <t>voraussichtliche Summe der Investitionsmehrkosten des Vorhabens:</t>
  </si>
  <si>
    <t>0.9</t>
  </si>
  <si>
    <t>Anpassung der Fahrzeugliste und UVPs</t>
  </si>
  <si>
    <t>Bösche</t>
  </si>
  <si>
    <t>BMW 640i Gran Coupé</t>
  </si>
  <si>
    <t>0.10</t>
  </si>
  <si>
    <t>PHEV</t>
  </si>
  <si>
    <t>BEV</t>
  </si>
  <si>
    <t>Umweltbonus</t>
  </si>
  <si>
    <t>Inanspruch-nahme Umweltbonus</t>
  </si>
  <si>
    <t>Voraussichtliche Zuwendung für die Installation der Ladeinfrastruktur:</t>
  </si>
  <si>
    <t>Voraussichtliche Förderquote des Vorhabens:</t>
  </si>
  <si>
    <t>Voraussichtliche Gesamtzuwendung des Vorhabens:</t>
  </si>
  <si>
    <t>Aktuellste Version</t>
  </si>
  <si>
    <t xml:space="preserve">Last-manage-ment </t>
  </si>
  <si>
    <t>Berücksichtigung Umweltbonus; Anpassung der Berechnung; Anpassung Referenzliste; Anpassung des Hinweistextes</t>
  </si>
  <si>
    <t>**</t>
  </si>
  <si>
    <t>Berücksichtiger Umweltbonus gem. BAFA**</t>
  </si>
  <si>
    <t>BEV - Batterie Electric Vehicle</t>
  </si>
  <si>
    <t>PHEV - Plug-in Hybrid Electric Vehicle</t>
  </si>
  <si>
    <t>Umbruchhilfe</t>
  </si>
  <si>
    <t>Umbruchhilfe
gewünschtes Fzg</t>
  </si>
  <si>
    <t>Umbruchhilfe Ladeinfrastruktur</t>
  </si>
  <si>
    <t>Begründung der E-Fahrzeug-Auswahl</t>
  </si>
  <si>
    <t>Begründung der Referenzfahrzeug-Auswahl</t>
  </si>
  <si>
    <r>
      <t xml:space="preserve">Gewünschte Ladeinfrastruktur </t>
    </r>
    <r>
      <rPr>
        <sz val="11"/>
        <color theme="1"/>
        <rFont val="Arial"/>
        <family val="2"/>
      </rPr>
      <t>(Bitte Spezifikationen genau beschreiben)</t>
    </r>
  </si>
  <si>
    <t>0.11</t>
  </si>
  <si>
    <t>Bei eigener Angabe bitte Zellen dieser Zeile überschreiben.</t>
  </si>
  <si>
    <t>Vorauswahl</t>
  </si>
  <si>
    <t>Eigene Auswahl</t>
  </si>
  <si>
    <t>Abfrage Elektromodelle nach Liste oder Individuell</t>
  </si>
  <si>
    <t>Bemerkung E-Fzg.</t>
  </si>
  <si>
    <t>Bemerkung Ref.-Fzg.</t>
  </si>
  <si>
    <t xml:space="preserve">Volvo XC 60 T8 TWIN ENGINE  </t>
  </si>
  <si>
    <t xml:space="preserve">Volvo V90 T8 TWIN ENGINE AWD  </t>
  </si>
  <si>
    <t>Antragsteller ist vorsteuerabzugsberechtigt:</t>
  </si>
  <si>
    <t>Investitions-mehrkosten (Netto)</t>
  </si>
  <si>
    <t>Investitions-mehrkosten-pauschale (Netto)</t>
  </si>
  <si>
    <t>Investitions-mehrkosten-pauschale abzgl. Umweltbonus (Netto)</t>
  </si>
  <si>
    <t>Investitions-mehrkosten (Brutto)</t>
  </si>
  <si>
    <t>Investitions-mehrkosten-pauschale (Brutto)</t>
  </si>
  <si>
    <t>Investitions-mehrkosten-pauschale abzgl. Umweltbonus (Brutto)</t>
  </si>
  <si>
    <t>Anpassungen in den Hinweistexten: Umbau auf Pop Up Fenster; Einführung Begründungsblöcke; Bug-Fixes etc.</t>
  </si>
  <si>
    <t>0.12</t>
  </si>
  <si>
    <t>Einbau der Vorsteuerabzugsberechtigung</t>
  </si>
  <si>
    <t>Bösche/Schaller</t>
  </si>
  <si>
    <t>Voraussichtliche Zuwendung - Sofortprogramm</t>
  </si>
  <si>
    <t>Voraussichtliche Zuwendung durch Sofortprogramm</t>
  </si>
  <si>
    <t>Voraussichtliche Zuwendung d. Sofortprogramm</t>
  </si>
  <si>
    <t>Umbruchhilfe Begründung EFZG</t>
  </si>
  <si>
    <t>Umbruchhilde Begründung konventionell</t>
  </si>
  <si>
    <t>Inanspruch-nahme Umwelt-bonus</t>
  </si>
  <si>
    <t>0.13</t>
  </si>
  <si>
    <t>Umbruchhilfen eingefügt; Bug Fixing; indiv. Ansatz Investitionspauschale nur 1 Zeile korrekt; Ausgrenzung Umweltbonus bei Fzg. &gt; 60k€ in Referenzmmodelle Splate12;</t>
  </si>
  <si>
    <t>0.14</t>
  </si>
  <si>
    <t>Anpassung Umweltbonus nach Rückspreche mit Anke</t>
  </si>
  <si>
    <t>TEST</t>
  </si>
  <si>
    <t>Berechnung Investmehrkosten Netto</t>
  </si>
  <si>
    <t>Berechnung Investmehrkosten Brutto</t>
  </si>
  <si>
    <t>0.15</t>
  </si>
  <si>
    <t>Überarbeitung der Berücksichtigung des Umweltbonus</t>
  </si>
  <si>
    <t>0.16</t>
  </si>
  <si>
    <t>kleinere textliche Änderungen; smarte Ladesäule um 1k€ verringert; Ausblenden der nicht öffentlichen Bereiche, Sperren der nicht öffentlichen Zellen; Erzeugung der öffentlichen Version 02 - 20180409_Anlage_1_Berechnung_Zuwendung_v1.0.xlsx</t>
  </si>
  <si>
    <t>1.0</t>
  </si>
  <si>
    <t>Version für Antragsteller</t>
  </si>
  <si>
    <t>Ohne Gewähr: Die Prüfung der Zuwendungsvoraussetzungen des Umweltbonus obligt dem Antragsteller. Die Einreichung des Antrags zum Sofortprogramm stellt keinen Antrag 
und somit auch keinen Anspruch auf den Umweltbonus des BAFA dar. Dieser ist gesondert zu beantragen.</t>
  </si>
  <si>
    <r>
      <t xml:space="preserve">Ohne Gewähr: Die Prüfung der Zuwendungsvoraussetzungen des Umweltbonus obligt dem Antragsteller. Die Einreichung des Antrags zum Sofortprogramm stellt </t>
    </r>
    <r>
      <rPr>
        <b/>
        <u/>
        <sz val="9"/>
        <rFont val="Arial"/>
        <family val="2"/>
      </rPr>
      <t>keinen Antrag</t>
    </r>
    <r>
      <rPr>
        <b/>
        <sz val="9"/>
        <rFont val="Arial"/>
        <family val="2"/>
      </rPr>
      <t xml:space="preserve"> und somit auch </t>
    </r>
    <r>
      <rPr>
        <b/>
        <u/>
        <sz val="9"/>
        <rFont val="Arial"/>
        <family val="2"/>
      </rPr>
      <t>keinen Anspruch</t>
    </r>
    <r>
      <rPr>
        <b/>
        <sz val="9"/>
        <rFont val="Arial"/>
        <family val="2"/>
      </rPr>
      <t xml:space="preserve"> auf den Umweltbonus des BAFA dar. Dieser ist gesondert zu beantragen.</t>
    </r>
  </si>
  <si>
    <t xml:space="preserve">Dieses Tool dient Ihnen zur Berechnung der voraussichtlich zuwendungsfähigen Kosten des Beschaffungsvorhabens im Rahmen des "Sofortprogramms Saubere Luft 2017-2020". Hierbei handelt es sich um eine Investitionsmehrkostenpauschale.
Wählen Sie bitte zunächst die Ihrem Unternehmen entsprechende Unternehmenskategorie gemäß der Tabelle rechts aus. 
Anschließend können Sie die gewünschten Fahrzeuge (Punkt 1) und ggf. Ladeinfrastruktur (Punkt 2) auswählen. Geben Sie zusätzlich die gewünschte Anzahl der Fahrzeuge, bzw. Ladeinfrastruktur an. Hellgraue Felder sind von Ihnen auszufüllen. Die  Installationskostenpauschale ist abhängig von der gewählten Ladinfrastruktur und kann Punkt 3 entnommen werden.
Eine Kumulierung der Förderung mit dem Umweltbonus ist prinzipiell möglich. Wird eine Kumulierung angestrebt, reduzieren sich die Investitionsmehrkosten um den entsprechenden Betrag des jeweiligen Umweltbonus.
Beachten Sie bitte, dass die voraussichtliche Zuwendung im Rahmen der pauschalierten Beantragung auf maximal 10.000,00 € pro Fahrzeug begrenzt ist.
Nach der Vervollständigung der Angaben, können Sie die mit dem Stern markierten Werte in das Skizzeneinreichungstool (Positron:S) eingeben. Speichern Sie diese Datei ab, um sie anschließend im Skizzeneinreichungstool hochladen zu können.
</t>
  </si>
  <si>
    <t>Dieses Tool dient Ihnen zur Berechnung der voraussichtlich zuwendungsfähigen Kosten des Beschaffungsvorhabens im Rahmen des Sofortprogramms "Saubere Luft 2017-2020". 
Hierbei handelt es sich um eine individuelle Berechnung der Investitionsmehrkosten (etwaige Rabatte für die E-Fahrzeuge und der konventionellen Referenzfahrzeuge sind zu berücksichtigen). Entsprechende Angebote sind nach positiver Prüfung der Förderwürdigkeit im Rahmen der Aufforderung zur Einreichung des Förderantrages einzureichen.  
Wählen Sie bitte zunächst die Ihrem Unternehmen entsprechende Unternehmenskategorie gemäß der Tabelle rechts aus. 
Anschließend tragen Sie die gewünschten Fahrzeuge (Punkt 1) und ggf. Ladeinfrastruktur (Punkt 2) sowie die entsprechenden Kosten in die hellgrauen Felder ein. Geben Sie zusätzlich die gewünschte Anzahl der Fahrzeuge an. Eine Kumulierung der Förderung mit dem Umweltbonus ist prinzipiell möglich. Wird eine Kumulierung angestrebt, reduzieren sich die Investitionsmehrkosten um den entsprechenden Betrag des jeweiligen Umweltbonus. Unter Punkt 3 können Sie zusätzlich die geschätzten Kosten für die Installation der Ladeinfrastruktur eingeben. 
Nachdem Vervollständigung der Angaben, können Sie die mit dem Stern markierten Werte in das Skizzeneinreichungstool (Positron:S) eingeben. Speichern Sie diese Datei ab, um sie anschließend im Skizzeneinreichungstool hochladen zu können.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</si>
</sst>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44" formatCode="_-* #,##0.00\ &quot;€&quot;_-;\-* #,##0.00\ &quot;€&quot;_-;_-* &quot;-&quot;??\ &quot;€&quot;_-;_-@_-"/>
    <numFmt numFmtId="164" formatCode="_-* #,##0\ &quot;€&quot;_-;\-* #,##0\ &quot;€&quot;_-;_-* &quot;-&quot;??\ &quot;€&quot;_-;_-@_-"/>
  </numFmts>
  <fonts count="34">
    <font>
      <sz val="11"/>
      <color theme="1"/>
      <name val="Arial"/>
      <family val="2"/>
    </font>
    <font>
      <sz val="11"/>
      <color theme="1"/>
      <name val="Arial"/>
      <family val="2"/>
    </font>
    <font>
      <b/>
      <sz val="11"/>
      <color theme="1"/>
      <name val="Arial"/>
      <family val="2"/>
    </font>
    <font>
      <sz val="11"/>
      <color theme="1"/>
      <name val="Roboto Light"/>
    </font>
    <font>
      <b/>
      <sz val="11"/>
      <color theme="1"/>
      <name val="Roboto Light"/>
    </font>
    <font>
      <sz val="9"/>
      <color theme="1"/>
      <name val="Roboto Light"/>
    </font>
    <font>
      <sz val="9"/>
      <color theme="1"/>
      <name val="Arial"/>
      <family val="2"/>
    </font>
    <font>
      <sz val="11"/>
      <color theme="1"/>
      <name val="Calibri"/>
      <family val="2"/>
      <scheme val="minor"/>
    </font>
    <font>
      <b/>
      <sz val="11"/>
      <color rgb="FFFF0000"/>
      <name val="Arial"/>
      <family val="2"/>
    </font>
    <font>
      <b/>
      <u/>
      <sz val="11"/>
      <color rgb="FFFF0000"/>
      <name val="Arial"/>
      <family val="2"/>
    </font>
    <font>
      <b/>
      <sz val="11"/>
      <color rgb="FFFF0000"/>
      <name val="Roboto Light"/>
    </font>
    <font>
      <b/>
      <sz val="11"/>
      <name val="Arial"/>
      <family val="2"/>
    </font>
    <font>
      <sz val="14"/>
      <color theme="1"/>
      <name val="Arial"/>
      <family val="2"/>
    </font>
    <font>
      <b/>
      <sz val="14"/>
      <color theme="1"/>
      <name val="Arial"/>
      <family val="2"/>
    </font>
    <font>
      <b/>
      <sz val="9"/>
      <color theme="1"/>
      <name val="Arial"/>
      <family val="2"/>
    </font>
    <font>
      <sz val="11"/>
      <color theme="1"/>
      <name val="Symbol"/>
      <family val="1"/>
      <charset val="2"/>
    </font>
    <font>
      <sz val="11"/>
      <name val="Arial"/>
      <family val="2"/>
    </font>
    <font>
      <sz val="10"/>
      <name val="Arial"/>
      <family val="2"/>
    </font>
    <font>
      <sz val="10"/>
      <color theme="1"/>
      <name val="Arial"/>
      <family val="2"/>
    </font>
    <font>
      <b/>
      <sz val="10"/>
      <color theme="1"/>
      <name val="Arial"/>
      <family val="2"/>
    </font>
    <font>
      <b/>
      <sz val="10"/>
      <name val="Arial"/>
      <family val="2"/>
    </font>
    <font>
      <b/>
      <u/>
      <sz val="11"/>
      <color theme="1"/>
      <name val="Arial"/>
      <family val="2"/>
    </font>
    <font>
      <b/>
      <sz val="18"/>
      <color rgb="FF7030A0"/>
      <name val="Arial"/>
      <family val="2"/>
    </font>
    <font>
      <b/>
      <u val="singleAccounting"/>
      <sz val="12"/>
      <color rgb="FFFF0000"/>
      <name val="Arial"/>
      <family val="2"/>
    </font>
    <font>
      <b/>
      <sz val="11"/>
      <color theme="0" tint="-0.34998626667073579"/>
      <name val="Arial"/>
      <family val="2"/>
    </font>
    <font>
      <sz val="9"/>
      <color theme="0" tint="-0.34998626667073579"/>
      <name val="Arial"/>
      <family val="2"/>
    </font>
    <font>
      <b/>
      <sz val="14"/>
      <color rgb="FFFF0000"/>
      <name val="Arial"/>
      <family val="2"/>
    </font>
    <font>
      <sz val="11"/>
      <color theme="0" tint="-0.249977111117893"/>
      <name val="Arial"/>
      <family val="2"/>
    </font>
    <font>
      <b/>
      <sz val="11"/>
      <color theme="0" tint="-0.249977111117893"/>
      <name val="Arial"/>
      <family val="2"/>
    </font>
    <font>
      <b/>
      <sz val="9"/>
      <name val="Arial"/>
      <family val="2"/>
    </font>
    <font>
      <b/>
      <u/>
      <sz val="9"/>
      <name val="Arial"/>
      <family val="2"/>
    </font>
    <font>
      <sz val="11"/>
      <color rgb="FFFF0000"/>
      <name val="Arial"/>
      <family val="2"/>
    </font>
    <font>
      <b/>
      <sz val="11"/>
      <color theme="0"/>
      <name val="Arial"/>
      <family val="2"/>
    </font>
    <font>
      <sz val="11"/>
      <color theme="0"/>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FFFF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right/>
      <top/>
      <bottom style="double">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theme="0" tint="-0.499984740745262"/>
      </left>
      <right style="medium">
        <color theme="0" tint="-0.499984740745262"/>
      </right>
      <top/>
      <bottom style="thin">
        <color theme="0" tint="-0.499984740745262"/>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theme="0" tint="-0.499984740745262"/>
      </left>
      <right style="medium">
        <color theme="0" tint="-0.499984740745262"/>
      </right>
      <top style="medium">
        <color theme="0" tint="-0.499984740745262"/>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top/>
      <bottom/>
      <diagonal/>
    </border>
    <border>
      <left style="thin">
        <color indexed="64"/>
      </left>
      <right style="thin">
        <color indexed="64"/>
      </right>
      <top style="thin">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cellStyleXfs>
  <cellXfs count="279">
    <xf numFmtId="0" fontId="0" fillId="0" borderId="0" xfId="0"/>
    <xf numFmtId="0" fontId="0" fillId="6" borderId="0" xfId="0" applyFill="1"/>
    <xf numFmtId="0" fontId="4" fillId="5" borderId="4" xfId="0" applyFont="1" applyFill="1" applyBorder="1" applyAlignment="1">
      <alignment vertical="center" wrapText="1"/>
    </xf>
    <xf numFmtId="0" fontId="3" fillId="4" borderId="5" xfId="0" applyFont="1" applyFill="1" applyBorder="1"/>
    <xf numFmtId="0" fontId="3" fillId="4" borderId="6" xfId="0" applyFont="1" applyFill="1" applyBorder="1"/>
    <xf numFmtId="0" fontId="4" fillId="5" borderId="7" xfId="0" applyFont="1" applyFill="1" applyBorder="1" applyAlignment="1">
      <alignment vertical="center" wrapText="1"/>
    </xf>
    <xf numFmtId="44" fontId="4" fillId="5" borderId="8" xfId="1" applyFont="1" applyFill="1" applyBorder="1" applyAlignment="1">
      <alignment horizontal="left" vertical="center" wrapText="1"/>
    </xf>
    <xf numFmtId="44" fontId="4" fillId="5" borderId="8" xfId="1" applyFont="1" applyFill="1" applyBorder="1" applyAlignment="1">
      <alignment vertical="center" wrapText="1"/>
    </xf>
    <xf numFmtId="0" fontId="4" fillId="5" borderId="8" xfId="0" applyFont="1" applyFill="1" applyBorder="1" applyAlignment="1">
      <alignment vertical="center" wrapText="1"/>
    </xf>
    <xf numFmtId="0" fontId="2" fillId="6" borderId="0" xfId="0" applyFont="1" applyFill="1"/>
    <xf numFmtId="0" fontId="3" fillId="3" borderId="9" xfId="0" applyFont="1" applyFill="1" applyBorder="1"/>
    <xf numFmtId="44" fontId="3" fillId="3" borderId="10" xfId="1" applyFont="1" applyFill="1" applyBorder="1"/>
    <xf numFmtId="0" fontId="3" fillId="2" borderId="9" xfId="0" applyFont="1" applyFill="1" applyBorder="1"/>
    <xf numFmtId="44" fontId="3" fillId="4" borderId="9" xfId="0" applyNumberFormat="1" applyFont="1" applyFill="1" applyBorder="1"/>
    <xf numFmtId="44" fontId="0" fillId="4" borderId="10" xfId="1" applyFont="1" applyFill="1" applyBorder="1"/>
    <xf numFmtId="0" fontId="0" fillId="6" borderId="0" xfId="0" applyFill="1" applyAlignment="1">
      <alignment horizontal="right"/>
    </xf>
    <xf numFmtId="0" fontId="0" fillId="6" borderId="0" xfId="0" applyFill="1" applyAlignment="1">
      <alignment horizontal="left"/>
    </xf>
    <xf numFmtId="0" fontId="6" fillId="0" borderId="1" xfId="0" applyFont="1" applyBorder="1" applyAlignment="1">
      <alignment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right" vertical="center" wrapText="1"/>
    </xf>
    <xf numFmtId="9" fontId="0" fillId="0" borderId="0" xfId="2" applyFont="1"/>
    <xf numFmtId="0" fontId="2" fillId="6" borderId="0" xfId="0" applyFont="1" applyFill="1" applyAlignment="1">
      <alignment horizontal="right"/>
    </xf>
    <xf numFmtId="0" fontId="2" fillId="0" borderId="0" xfId="0" applyFont="1"/>
    <xf numFmtId="0" fontId="9" fillId="6" borderId="0" xfId="0" applyFont="1" applyFill="1"/>
    <xf numFmtId="0" fontId="9" fillId="6" borderId="0" xfId="0" applyFont="1" applyFill="1" applyAlignment="1">
      <alignment horizontal="right"/>
    </xf>
    <xf numFmtId="9" fontId="9" fillId="6" borderId="0" xfId="2" applyFont="1" applyFill="1"/>
    <xf numFmtId="8" fontId="3" fillId="3" borderId="10" xfId="1" applyNumberFormat="1" applyFont="1" applyFill="1" applyBorder="1"/>
    <xf numFmtId="0" fontId="10" fillId="3" borderId="11" xfId="0" applyFont="1" applyFill="1" applyBorder="1"/>
    <xf numFmtId="44" fontId="10" fillId="3" borderId="12" xfId="1" applyFont="1" applyFill="1" applyBorder="1" applyAlignment="1">
      <alignment horizontal="right"/>
    </xf>
    <xf numFmtId="0" fontId="10" fillId="2" borderId="11" xfId="0" applyFont="1" applyFill="1" applyBorder="1" applyAlignment="1">
      <alignment horizontal="right"/>
    </xf>
    <xf numFmtId="44" fontId="10" fillId="4" borderId="11" xfId="0" applyNumberFormat="1" applyFont="1" applyFill="1" applyBorder="1" applyAlignment="1">
      <alignment horizontal="right"/>
    </xf>
    <xf numFmtId="44" fontId="8" fillId="4" borderId="12" xfId="1" applyFont="1" applyFill="1" applyBorder="1" applyAlignment="1">
      <alignment horizontal="right"/>
    </xf>
    <xf numFmtId="8" fontId="0" fillId="0" borderId="0" xfId="0" applyNumberFormat="1"/>
    <xf numFmtId="0" fontId="8" fillId="6" borderId="0" xfId="0" applyFont="1" applyFill="1" applyAlignment="1">
      <alignment horizontal="right"/>
    </xf>
    <xf numFmtId="9" fontId="8" fillId="6" borderId="0" xfId="2" applyFont="1" applyFill="1"/>
    <xf numFmtId="0" fontId="4" fillId="5" borderId="28" xfId="0" applyFont="1" applyFill="1" applyBorder="1" applyAlignment="1">
      <alignment vertical="center" wrapText="1"/>
    </xf>
    <xf numFmtId="0" fontId="4" fillId="5" borderId="29" xfId="0" applyFont="1" applyFill="1" applyBorder="1" applyAlignment="1">
      <alignment vertical="center" wrapText="1"/>
    </xf>
    <xf numFmtId="0" fontId="8" fillId="6" borderId="0" xfId="0" applyFont="1" applyFill="1"/>
    <xf numFmtId="0" fontId="4" fillId="5" borderId="21" xfId="0" applyFont="1" applyFill="1" applyBorder="1" applyAlignment="1">
      <alignment vertical="center" wrapText="1"/>
    </xf>
    <xf numFmtId="0" fontId="8" fillId="0" borderId="0" xfId="0" applyFont="1"/>
    <xf numFmtId="8" fontId="8" fillId="6" borderId="0" xfId="0" applyNumberFormat="1" applyFont="1" applyFill="1"/>
    <xf numFmtId="0" fontId="2" fillId="0" borderId="1" xfId="0" applyFont="1" applyBorder="1"/>
    <xf numFmtId="0" fontId="0" fillId="0" borderId="1" xfId="0" applyBorder="1"/>
    <xf numFmtId="0" fontId="0" fillId="0" borderId="1" xfId="0" applyBorder="1" applyAlignment="1">
      <alignment wrapText="1"/>
    </xf>
    <xf numFmtId="14" fontId="0" fillId="0" borderId="1" xfId="0" applyNumberFormat="1" applyBorder="1"/>
    <xf numFmtId="0" fontId="6" fillId="0" borderId="0" xfId="0" applyFont="1" applyFill="1" applyBorder="1" applyAlignment="1">
      <alignment vertical="center" wrapText="1"/>
    </xf>
    <xf numFmtId="0" fontId="6" fillId="0" borderId="0" xfId="0" applyFont="1" applyFill="1" applyBorder="1" applyAlignment="1">
      <alignment vertical="center"/>
    </xf>
    <xf numFmtId="44" fontId="23" fillId="6" borderId="0" xfId="1" applyFont="1" applyFill="1"/>
    <xf numFmtId="0" fontId="3" fillId="4" borderId="13" xfId="0" applyFont="1" applyFill="1" applyBorder="1"/>
    <xf numFmtId="0" fontId="3" fillId="4" borderId="18" xfId="0" applyFont="1" applyFill="1" applyBorder="1"/>
    <xf numFmtId="164" fontId="0" fillId="0" borderId="0" xfId="1" applyNumberFormat="1" applyFont="1"/>
    <xf numFmtId="44" fontId="4" fillId="5" borderId="36" xfId="1" applyFont="1" applyFill="1" applyBorder="1" applyAlignment="1">
      <alignment vertical="center" wrapText="1"/>
    </xf>
    <xf numFmtId="8" fontId="3" fillId="2" borderId="2" xfId="1" applyNumberFormat="1" applyFont="1" applyFill="1" applyBorder="1"/>
    <xf numFmtId="44" fontId="3" fillId="2" borderId="2" xfId="1" applyFont="1" applyFill="1" applyBorder="1"/>
    <xf numFmtId="44" fontId="10" fillId="2" borderId="37" xfId="1" applyFont="1" applyFill="1" applyBorder="1" applyAlignment="1">
      <alignment horizontal="right"/>
    </xf>
    <xf numFmtId="44" fontId="0" fillId="4" borderId="1" xfId="1" applyFont="1" applyFill="1" applyBorder="1"/>
    <xf numFmtId="0" fontId="4" fillId="5" borderId="34" xfId="0" applyFont="1" applyFill="1" applyBorder="1" applyAlignment="1">
      <alignment vertical="center" wrapText="1"/>
    </xf>
    <xf numFmtId="44" fontId="8" fillId="4" borderId="35" xfId="1" applyFont="1" applyFill="1" applyBorder="1" applyAlignment="1">
      <alignment horizontal="right"/>
    </xf>
    <xf numFmtId="0" fontId="0" fillId="0" borderId="1" xfId="0" applyNumberFormat="1" applyBorder="1" applyAlignment="1">
      <alignment horizontal="center"/>
    </xf>
    <xf numFmtId="0" fontId="3" fillId="4" borderId="44" xfId="0" applyFont="1" applyFill="1" applyBorder="1"/>
    <xf numFmtId="0" fontId="3" fillId="3" borderId="45" xfId="0" applyFont="1" applyFill="1" applyBorder="1"/>
    <xf numFmtId="0" fontId="3" fillId="4" borderId="46" xfId="0" applyFont="1" applyFill="1" applyBorder="1"/>
    <xf numFmtId="14" fontId="0" fillId="4" borderId="1" xfId="0" applyNumberFormat="1" applyFont="1" applyFill="1" applyBorder="1" applyAlignment="1" applyProtection="1">
      <alignment horizontal="left"/>
      <protection locked="0"/>
    </xf>
    <xf numFmtId="0" fontId="0" fillId="4" borderId="5"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44" fontId="0" fillId="4" borderId="1" xfId="1" applyFont="1" applyFill="1" applyBorder="1" applyProtection="1">
      <protection locked="0"/>
    </xf>
    <xf numFmtId="0" fontId="0" fillId="4" borderId="13" xfId="0" applyFont="1" applyFill="1" applyBorder="1" applyAlignment="1" applyProtection="1">
      <alignment horizontal="center"/>
      <protection locked="0"/>
    </xf>
    <xf numFmtId="0" fontId="0" fillId="4" borderId="5" xfId="0" applyFont="1" applyFill="1" applyBorder="1" applyAlignment="1" applyProtection="1">
      <protection locked="0"/>
    </xf>
    <xf numFmtId="0" fontId="0" fillId="2" borderId="5" xfId="0" applyFont="1" applyFill="1" applyBorder="1" applyAlignment="1" applyProtection="1"/>
    <xf numFmtId="0" fontId="0" fillId="4" borderId="18" xfId="0" applyFont="1" applyFill="1" applyBorder="1" applyAlignment="1" applyProtection="1">
      <alignment horizontal="center"/>
      <protection locked="0"/>
    </xf>
    <xf numFmtId="0" fontId="0" fillId="4" borderId="6" xfId="0" applyFont="1" applyFill="1" applyBorder="1" applyAlignment="1" applyProtection="1">
      <protection locked="0"/>
    </xf>
    <xf numFmtId="0" fontId="0" fillId="2" borderId="6" xfId="0" applyFont="1" applyFill="1" applyBorder="1" applyAlignment="1" applyProtection="1"/>
    <xf numFmtId="0" fontId="0" fillId="4" borderId="5" xfId="0"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0" fontId="0" fillId="4" borderId="13" xfId="0" applyFont="1" applyFill="1" applyBorder="1" applyAlignment="1" applyProtection="1">
      <alignment horizontal="center" vertical="center" wrapText="1"/>
      <protection locked="0"/>
    </xf>
    <xf numFmtId="44" fontId="0" fillId="4" borderId="1" xfId="1" applyFont="1" applyFill="1" applyBorder="1" applyAlignment="1" applyProtection="1">
      <alignment vertical="center" wrapText="1"/>
      <protection locked="0"/>
    </xf>
    <xf numFmtId="44" fontId="0" fillId="4" borderId="20" xfId="1" applyFont="1" applyFill="1" applyBorder="1" applyAlignment="1" applyProtection="1">
      <alignment vertical="center" wrapText="1"/>
      <protection locked="0"/>
    </xf>
    <xf numFmtId="0" fontId="0" fillId="4" borderId="3" xfId="0" applyNumberFormat="1" applyFont="1" applyFill="1" applyBorder="1" applyAlignment="1" applyProtection="1">
      <alignment horizontal="left" vertical="center" wrapText="1"/>
      <protection locked="0"/>
    </xf>
    <xf numFmtId="44" fontId="0" fillId="4" borderId="10" xfId="1" applyFont="1" applyFill="1" applyBorder="1" applyAlignment="1" applyProtection="1">
      <alignment vertical="center" wrapText="1"/>
      <protection locked="0"/>
    </xf>
    <xf numFmtId="0" fontId="0" fillId="4" borderId="5" xfId="0" applyFont="1" applyFill="1" applyBorder="1" applyAlignment="1" applyProtection="1">
      <alignment horizontal="center" vertical="center" wrapText="1"/>
      <protection locked="0"/>
    </xf>
    <xf numFmtId="0" fontId="0" fillId="4" borderId="18" xfId="0" applyFont="1" applyFill="1" applyBorder="1" applyAlignment="1" applyProtection="1">
      <alignment horizontal="center" vertical="center" wrapText="1"/>
      <protection locked="0"/>
    </xf>
    <xf numFmtId="44" fontId="0" fillId="4" borderId="35" xfId="1" applyFont="1" applyFill="1" applyBorder="1" applyAlignment="1" applyProtection="1">
      <alignment vertical="center" wrapText="1"/>
      <protection locked="0"/>
    </xf>
    <xf numFmtId="44" fontId="0" fillId="4" borderId="19" xfId="1" applyFont="1" applyFill="1" applyBorder="1" applyAlignment="1" applyProtection="1">
      <alignment vertical="center" wrapText="1"/>
      <protection locked="0"/>
    </xf>
    <xf numFmtId="0" fontId="0" fillId="4" borderId="49" xfId="0" applyNumberFormat="1" applyFont="1" applyFill="1" applyBorder="1" applyAlignment="1" applyProtection="1">
      <alignment horizontal="left" vertical="center" wrapText="1"/>
      <protection locked="0"/>
    </xf>
    <xf numFmtId="44" fontId="0" fillId="4" borderId="12" xfId="1" applyFont="1" applyFill="1" applyBorder="1" applyAlignment="1" applyProtection="1">
      <alignment vertical="center" wrapText="1"/>
      <protection locked="0"/>
    </xf>
    <xf numFmtId="0" fontId="0" fillId="4" borderId="6"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wrapText="1"/>
      <protection locked="0"/>
    </xf>
    <xf numFmtId="44" fontId="0" fillId="4" borderId="2" xfId="1" applyFont="1" applyFill="1" applyBorder="1"/>
    <xf numFmtId="44" fontId="8" fillId="4" borderId="37" xfId="1" applyFont="1" applyFill="1" applyBorder="1" applyAlignment="1">
      <alignment horizontal="right"/>
    </xf>
    <xf numFmtId="0" fontId="31" fillId="6" borderId="0" xfId="0" applyFont="1" applyFill="1" applyAlignment="1">
      <alignment horizontal="center" vertical="center"/>
    </xf>
    <xf numFmtId="44" fontId="0" fillId="0" borderId="0" xfId="0" applyNumberFormat="1"/>
    <xf numFmtId="8" fontId="3" fillId="4" borderId="9" xfId="0" applyNumberFormat="1" applyFont="1" applyFill="1" applyBorder="1"/>
    <xf numFmtId="0" fontId="0" fillId="6" borderId="0" xfId="0" applyFont="1" applyFill="1" applyProtection="1"/>
    <xf numFmtId="0" fontId="0" fillId="0" borderId="0" xfId="0" applyFont="1" applyProtection="1"/>
    <xf numFmtId="0" fontId="0" fillId="6" borderId="0" xfId="0" applyFont="1" applyFill="1" applyBorder="1" applyProtection="1"/>
    <xf numFmtId="14" fontId="0" fillId="6" borderId="0" xfId="0" applyNumberFormat="1" applyFont="1" applyFill="1" applyBorder="1" applyAlignment="1" applyProtection="1">
      <alignment horizontal="left"/>
    </xf>
    <xf numFmtId="0" fontId="11" fillId="6" borderId="0" xfId="0" applyFont="1" applyFill="1" applyBorder="1" applyAlignment="1" applyProtection="1">
      <alignment horizontal="right"/>
    </xf>
    <xf numFmtId="0" fontId="11" fillId="6" borderId="0" xfId="0" applyFont="1" applyFill="1" applyBorder="1" applyAlignment="1" applyProtection="1">
      <alignment horizontal="center"/>
    </xf>
    <xf numFmtId="0" fontId="0" fillId="0" borderId="0" xfId="0" applyFont="1" applyFill="1" applyBorder="1" applyProtection="1"/>
    <xf numFmtId="14" fontId="0" fillId="0" borderId="0" xfId="0" applyNumberFormat="1" applyFont="1" applyFill="1" applyBorder="1" applyAlignment="1" applyProtection="1">
      <alignment horizontal="left"/>
    </xf>
    <xf numFmtId="0" fontId="0" fillId="0" borderId="0" xfId="0" applyFont="1" applyBorder="1" applyProtection="1"/>
    <xf numFmtId="0" fontId="0" fillId="6" borderId="0" xfId="0" applyFont="1" applyFill="1" applyBorder="1" applyAlignment="1" applyProtection="1">
      <alignment horizontal="right"/>
    </xf>
    <xf numFmtId="0" fontId="0" fillId="6" borderId="0" xfId="0" applyFont="1" applyFill="1" applyBorder="1" applyAlignment="1" applyProtection="1">
      <alignment horizontal="center"/>
    </xf>
    <xf numFmtId="0" fontId="8" fillId="6" borderId="0" xfId="0" applyFont="1" applyFill="1" applyBorder="1" applyProtection="1"/>
    <xf numFmtId="0" fontId="8" fillId="0" borderId="0" xfId="0" applyFont="1" applyBorder="1" applyProtection="1"/>
    <xf numFmtId="0" fontId="17" fillId="6" borderId="0" xfId="0" applyFont="1" applyFill="1" applyBorder="1" applyAlignment="1" applyProtection="1">
      <alignment vertical="top" wrapText="1"/>
    </xf>
    <xf numFmtId="0" fontId="16" fillId="6" borderId="0" xfId="0" applyFont="1" applyFill="1" applyBorder="1" applyAlignment="1" applyProtection="1">
      <alignment vertical="top" wrapText="1"/>
    </xf>
    <xf numFmtId="0" fontId="16" fillId="6" borderId="0" xfId="0" applyFont="1" applyFill="1" applyBorder="1" applyAlignment="1" applyProtection="1">
      <alignment horizontal="left" vertical="top" wrapText="1"/>
    </xf>
    <xf numFmtId="0" fontId="21" fillId="6" borderId="0" xfId="0" applyFont="1" applyFill="1" applyBorder="1" applyProtection="1"/>
    <xf numFmtId="0" fontId="2" fillId="6" borderId="0" xfId="0" applyFont="1" applyFill="1" applyBorder="1" applyProtection="1"/>
    <xf numFmtId="0" fontId="2" fillId="6" borderId="0" xfId="0" applyFont="1" applyFill="1" applyBorder="1" applyAlignment="1" applyProtection="1">
      <alignment vertical="center" wrapText="1"/>
    </xf>
    <xf numFmtId="0" fontId="0" fillId="0" borderId="0" xfId="0" applyFont="1" applyAlignment="1" applyProtection="1">
      <alignment wrapText="1"/>
    </xf>
    <xf numFmtId="0" fontId="2" fillId="5" borderId="46" xfId="0" applyFont="1" applyFill="1" applyBorder="1" applyAlignment="1" applyProtection="1">
      <alignment vertical="center" wrapText="1"/>
    </xf>
    <xf numFmtId="0" fontId="2" fillId="5" borderId="1" xfId="0" applyFont="1" applyFill="1" applyBorder="1" applyAlignment="1" applyProtection="1">
      <alignment vertical="center" wrapText="1"/>
    </xf>
    <xf numFmtId="0" fontId="0" fillId="2" borderId="5" xfId="0" applyFont="1" applyFill="1" applyBorder="1" applyAlignment="1" applyProtection="1">
      <alignment horizontal="center" vertical="center"/>
    </xf>
    <xf numFmtId="0" fontId="0" fillId="8" borderId="9" xfId="0" applyNumberFormat="1" applyFont="1" applyFill="1" applyBorder="1" applyAlignment="1" applyProtection="1">
      <alignment vertical="center" wrapText="1"/>
    </xf>
    <xf numFmtId="44" fontId="0" fillId="2" borderId="16" xfId="1" applyFont="1" applyFill="1" applyBorder="1" applyAlignment="1" applyProtection="1">
      <alignment vertical="center"/>
    </xf>
    <xf numFmtId="9" fontId="0" fillId="2" borderId="5" xfId="2" applyFont="1" applyFill="1" applyBorder="1" applyAlignment="1" applyProtection="1">
      <alignment vertical="center"/>
    </xf>
    <xf numFmtId="44" fontId="0" fillId="2" borderId="5" xfId="1" applyFont="1" applyFill="1" applyBorder="1" applyAlignment="1" applyProtection="1">
      <alignment vertical="center"/>
    </xf>
    <xf numFmtId="44" fontId="0" fillId="6" borderId="0" xfId="1" applyFont="1" applyFill="1" applyBorder="1" applyProtection="1"/>
    <xf numFmtId="44" fontId="27" fillId="4" borderId="39" xfId="1" applyFont="1" applyFill="1" applyBorder="1" applyAlignment="1" applyProtection="1">
      <alignment vertical="center"/>
    </xf>
    <xf numFmtId="0" fontId="0" fillId="2" borderId="13" xfId="0" applyFill="1" applyBorder="1" applyAlignment="1" applyProtection="1">
      <alignment horizontal="center"/>
    </xf>
    <xf numFmtId="49" fontId="0" fillId="2" borderId="1" xfId="0" applyNumberFormat="1" applyFont="1" applyFill="1" applyBorder="1" applyAlignment="1" applyProtection="1">
      <alignment horizontal="left" vertical="top" wrapText="1"/>
    </xf>
    <xf numFmtId="0" fontId="0" fillId="2" borderId="1" xfId="0" applyNumberFormat="1" applyFont="1" applyFill="1" applyBorder="1" applyAlignment="1" applyProtection="1">
      <alignment horizontal="center" wrapText="1"/>
    </xf>
    <xf numFmtId="44" fontId="0" fillId="0" borderId="0" xfId="0" applyNumberFormat="1" applyFont="1" applyProtection="1"/>
    <xf numFmtId="0" fontId="0" fillId="2" borderId="6" xfId="0" applyFont="1" applyFill="1" applyBorder="1" applyAlignment="1" applyProtection="1">
      <alignment horizontal="center" vertical="center"/>
    </xf>
    <xf numFmtId="0" fontId="0" fillId="8" borderId="11" xfId="0" applyNumberFormat="1" applyFont="1" applyFill="1" applyBorder="1" applyAlignment="1" applyProtection="1">
      <alignment vertical="center" wrapText="1"/>
    </xf>
    <xf numFmtId="9" fontId="0" fillId="2" borderId="6" xfId="2" applyFont="1" applyFill="1" applyBorder="1" applyAlignment="1" applyProtection="1">
      <alignment vertical="center"/>
    </xf>
    <xf numFmtId="0" fontId="15" fillId="6" borderId="0" xfId="0" applyFont="1" applyFill="1" applyBorder="1" applyAlignment="1" applyProtection="1">
      <alignment horizontal="center" vertical="center"/>
    </xf>
    <xf numFmtId="0" fontId="0" fillId="6" borderId="0" xfId="0" applyFont="1" applyFill="1" applyBorder="1" applyAlignment="1" applyProtection="1">
      <alignment horizontal="center" vertical="center"/>
    </xf>
    <xf numFmtId="0" fontId="8" fillId="6" borderId="0" xfId="0" applyFont="1" applyFill="1" applyBorder="1" applyAlignment="1" applyProtection="1">
      <alignment vertical="center"/>
    </xf>
    <xf numFmtId="0" fontId="0" fillId="6" borderId="0" xfId="0" applyFont="1" applyFill="1" applyBorder="1" applyAlignment="1" applyProtection="1">
      <alignment vertical="center"/>
    </xf>
    <xf numFmtId="0" fontId="25" fillId="6" borderId="0" xfId="0" applyFont="1" applyFill="1" applyBorder="1" applyAlignment="1" applyProtection="1">
      <alignment horizontal="left"/>
    </xf>
    <xf numFmtId="44" fontId="2" fillId="6" borderId="17" xfId="1" applyFont="1" applyFill="1" applyBorder="1" applyAlignment="1" applyProtection="1">
      <alignment vertical="center"/>
    </xf>
    <xf numFmtId="0" fontId="13" fillId="6" borderId="0" xfId="0" applyFont="1" applyFill="1" applyBorder="1" applyAlignment="1" applyProtection="1">
      <alignment horizontal="left" vertical="top"/>
    </xf>
    <xf numFmtId="44" fontId="2" fillId="6" borderId="0" xfId="1" applyFont="1" applyFill="1" applyBorder="1" applyAlignment="1" applyProtection="1">
      <alignment vertical="center"/>
    </xf>
    <xf numFmtId="44" fontId="28" fillId="6" borderId="40" xfId="1" applyFont="1" applyFill="1" applyBorder="1" applyAlignment="1" applyProtection="1">
      <alignment vertical="center"/>
    </xf>
    <xf numFmtId="0" fontId="0" fillId="0" borderId="27" xfId="0" applyBorder="1" applyProtection="1"/>
    <xf numFmtId="0" fontId="25" fillId="6" borderId="0" xfId="0" applyFont="1" applyFill="1" applyBorder="1" applyAlignment="1" applyProtection="1">
      <alignment horizontal="left" vertical="top"/>
    </xf>
    <xf numFmtId="0" fontId="0" fillId="0" borderId="0" xfId="0" applyNumberFormat="1" applyFont="1" applyProtection="1"/>
    <xf numFmtId="0" fontId="26" fillId="6" borderId="0" xfId="0" applyFont="1" applyFill="1" applyBorder="1" applyAlignment="1" applyProtection="1">
      <alignment horizontal="left" vertical="center"/>
    </xf>
    <xf numFmtId="0" fontId="2" fillId="5" borderId="41" xfId="0" applyFont="1" applyFill="1" applyBorder="1" applyAlignment="1" applyProtection="1">
      <alignment vertical="center" wrapText="1"/>
    </xf>
    <xf numFmtId="0" fontId="0" fillId="2" borderId="13" xfId="0" applyFont="1" applyFill="1" applyBorder="1" applyAlignment="1" applyProtection="1">
      <alignment horizontal="center"/>
    </xf>
    <xf numFmtId="0" fontId="0" fillId="2" borderId="1" xfId="0" applyNumberFormat="1" applyFont="1" applyFill="1" applyBorder="1" applyAlignment="1" applyProtection="1">
      <alignment horizontal="left" vertical="top" wrapText="1"/>
    </xf>
    <xf numFmtId="0" fontId="0" fillId="2" borderId="61" xfId="0" applyNumberFormat="1" applyFont="1" applyFill="1" applyBorder="1" applyAlignment="1" applyProtection="1">
      <alignment horizontal="left" vertical="top" wrapText="1"/>
    </xf>
    <xf numFmtId="44" fontId="0" fillId="6" borderId="0" xfId="0" applyNumberFormat="1" applyFont="1" applyFill="1" applyBorder="1" applyProtection="1"/>
    <xf numFmtId="0" fontId="2" fillId="5" borderId="4" xfId="0" applyFont="1" applyFill="1" applyBorder="1" applyAlignment="1" applyProtection="1">
      <alignment horizontal="center" vertical="center" wrapText="1"/>
    </xf>
    <xf numFmtId="0" fontId="2" fillId="5" borderId="30" xfId="0" applyFont="1" applyFill="1" applyBorder="1" applyAlignment="1" applyProtection="1">
      <alignment vertical="center" wrapText="1"/>
    </xf>
    <xf numFmtId="0" fontId="0" fillId="2" borderId="5" xfId="0" applyFont="1" applyFill="1" applyBorder="1" applyAlignment="1" applyProtection="1">
      <alignment horizontal="center"/>
    </xf>
    <xf numFmtId="44" fontId="0" fillId="2" borderId="5" xfId="1" applyFont="1" applyFill="1" applyBorder="1" applyProtection="1"/>
    <xf numFmtId="9" fontId="0" fillId="2" borderId="5" xfId="2" applyFont="1" applyFill="1" applyBorder="1" applyProtection="1"/>
    <xf numFmtId="0" fontId="0" fillId="2" borderId="42" xfId="0" applyNumberFormat="1" applyFont="1" applyFill="1" applyBorder="1" applyAlignment="1" applyProtection="1">
      <alignment vertical="top" wrapText="1"/>
    </xf>
    <xf numFmtId="0" fontId="0" fillId="2" borderId="6" xfId="0" applyFont="1" applyFill="1" applyBorder="1" applyAlignment="1" applyProtection="1">
      <alignment horizontal="center"/>
    </xf>
    <xf numFmtId="9" fontId="0" fillId="2" borderId="6" xfId="2" applyFont="1" applyFill="1" applyBorder="1" applyProtection="1"/>
    <xf numFmtId="0" fontId="16" fillId="6" borderId="0" xfId="0" applyFont="1" applyFill="1" applyBorder="1" applyProtection="1"/>
    <xf numFmtId="0" fontId="13" fillId="6" borderId="0" xfId="0" applyFont="1" applyFill="1" applyBorder="1" applyAlignment="1" applyProtection="1">
      <alignment horizontal="left" vertical="center"/>
    </xf>
    <xf numFmtId="0" fontId="2" fillId="6" borderId="0" xfId="0" applyFont="1" applyFill="1" applyBorder="1" applyAlignment="1" applyProtection="1">
      <alignment horizontal="right"/>
    </xf>
    <xf numFmtId="44" fontId="2" fillId="6" borderId="0" xfId="1" applyFont="1" applyFill="1" applyBorder="1" applyProtection="1"/>
    <xf numFmtId="44" fontId="2" fillId="6" borderId="27" xfId="1" applyFont="1" applyFill="1" applyBorder="1" applyProtection="1"/>
    <xf numFmtId="0" fontId="14" fillId="6" borderId="0" xfId="0" applyFont="1" applyFill="1" applyBorder="1" applyAlignment="1" applyProtection="1">
      <alignment horizontal="right"/>
    </xf>
    <xf numFmtId="0" fontId="6" fillId="6" borderId="0" xfId="0" applyFont="1" applyFill="1" applyBorder="1" applyProtection="1"/>
    <xf numFmtId="44" fontId="29" fillId="0" borderId="0" xfId="1" applyFont="1" applyFill="1" applyBorder="1" applyAlignment="1" applyProtection="1">
      <alignment horizontal="center"/>
    </xf>
    <xf numFmtId="44" fontId="14" fillId="6" borderId="0" xfId="1" applyFont="1" applyFill="1" applyBorder="1" applyAlignment="1" applyProtection="1">
      <alignment horizontal="center"/>
    </xf>
    <xf numFmtId="9" fontId="14" fillId="6" borderId="0" xfId="2" applyFont="1" applyFill="1" applyBorder="1" applyAlignment="1" applyProtection="1">
      <alignment horizontal="right"/>
    </xf>
    <xf numFmtId="0" fontId="12" fillId="6" borderId="0" xfId="0" applyFont="1" applyFill="1" applyBorder="1" applyProtection="1"/>
    <xf numFmtId="0" fontId="13" fillId="6" borderId="0" xfId="0" applyFont="1" applyFill="1" applyBorder="1" applyAlignment="1" applyProtection="1">
      <alignment horizontal="right"/>
    </xf>
    <xf numFmtId="44" fontId="13" fillId="6" borderId="27" xfId="1" applyFont="1" applyFill="1" applyBorder="1" applyProtection="1"/>
    <xf numFmtId="44" fontId="13" fillId="6" borderId="0" xfId="1" applyFont="1" applyFill="1" applyBorder="1" applyProtection="1"/>
    <xf numFmtId="0" fontId="19" fillId="6" borderId="0" xfId="0" applyFont="1" applyFill="1" applyBorder="1" applyAlignment="1" applyProtection="1">
      <alignment horizontal="right" vertical="top"/>
    </xf>
    <xf numFmtId="0" fontId="29" fillId="6" borderId="0" xfId="0" applyFont="1" applyFill="1" applyBorder="1" applyProtection="1"/>
    <xf numFmtId="0" fontId="20" fillId="6" borderId="0" xfId="0" applyFont="1" applyFill="1" applyBorder="1" applyProtection="1"/>
    <xf numFmtId="0" fontId="18" fillId="0" borderId="0" xfId="0" applyFont="1" applyBorder="1" applyProtection="1"/>
    <xf numFmtId="0" fontId="0" fillId="6" borderId="0" xfId="0" applyFont="1" applyFill="1" applyAlignment="1" applyProtection="1">
      <alignment horizontal="right"/>
    </xf>
    <xf numFmtId="0" fontId="11" fillId="0" borderId="0" xfId="0" applyFont="1" applyFill="1" applyBorder="1" applyAlignment="1" applyProtection="1">
      <alignment horizontal="right"/>
    </xf>
    <xf numFmtId="0" fontId="11" fillId="0" borderId="0" xfId="0" applyFont="1" applyFill="1" applyBorder="1" applyAlignment="1" applyProtection="1">
      <alignment horizontal="center"/>
    </xf>
    <xf numFmtId="0" fontId="33" fillId="6" borderId="0" xfId="0" applyFont="1" applyFill="1" applyBorder="1" applyProtection="1"/>
    <xf numFmtId="0" fontId="24" fillId="7" borderId="38" xfId="0" applyFont="1" applyFill="1" applyBorder="1" applyAlignment="1" applyProtection="1">
      <alignment vertical="center" wrapText="1"/>
    </xf>
    <xf numFmtId="44" fontId="0" fillId="2" borderId="13" xfId="1" applyFont="1" applyFill="1" applyBorder="1" applyProtection="1"/>
    <xf numFmtId="0" fontId="32" fillId="6" borderId="0" xfId="0" applyFont="1" applyFill="1" applyBorder="1" applyAlignment="1" applyProtection="1">
      <alignment horizontal="center"/>
    </xf>
    <xf numFmtId="44" fontId="27" fillId="4" borderId="39" xfId="1" applyFont="1" applyFill="1" applyBorder="1" applyProtection="1"/>
    <xf numFmtId="0" fontId="0" fillId="2" borderId="41" xfId="0" applyFont="1" applyFill="1" applyBorder="1" applyAlignment="1" applyProtection="1">
      <alignment horizontal="center" wrapText="1"/>
    </xf>
    <xf numFmtId="0" fontId="0" fillId="2" borderId="42" xfId="0" applyFont="1" applyFill="1" applyBorder="1" applyAlignment="1" applyProtection="1">
      <alignment horizontal="center" wrapText="1"/>
    </xf>
    <xf numFmtId="0" fontId="0" fillId="2" borderId="43" xfId="0" applyFont="1" applyFill="1" applyBorder="1" applyAlignment="1" applyProtection="1">
      <alignment horizontal="center" wrapText="1"/>
    </xf>
    <xf numFmtId="0" fontId="31" fillId="6" borderId="0" xfId="0" applyFont="1" applyFill="1" applyBorder="1" applyProtection="1"/>
    <xf numFmtId="0" fontId="2" fillId="5" borderId="7" xfId="0" applyFont="1" applyFill="1" applyBorder="1" applyAlignment="1" applyProtection="1">
      <alignment horizontal="center" vertical="center" wrapText="1"/>
    </xf>
    <xf numFmtId="0" fontId="2" fillId="5" borderId="4" xfId="0" applyFont="1" applyFill="1" applyBorder="1" applyAlignment="1" applyProtection="1">
      <alignment vertical="center" wrapText="1"/>
    </xf>
    <xf numFmtId="44" fontId="0" fillId="2" borderId="5" xfId="1" applyFont="1" applyFill="1" applyBorder="1" applyAlignment="1" applyProtection="1">
      <alignment horizontal="center"/>
    </xf>
    <xf numFmtId="0" fontId="2" fillId="0" borderId="0" xfId="0" applyFont="1" applyFill="1" applyBorder="1" applyAlignment="1" applyProtection="1">
      <alignment horizontal="right"/>
    </xf>
    <xf numFmtId="0" fontId="18" fillId="6" borderId="0" xfId="0" applyFont="1" applyFill="1" applyBorder="1" applyProtection="1"/>
    <xf numFmtId="0" fontId="0" fillId="9" borderId="0" xfId="0" applyFill="1"/>
    <xf numFmtId="0" fontId="3" fillId="9" borderId="45" xfId="0" applyFont="1" applyFill="1" applyBorder="1"/>
    <xf numFmtId="8" fontId="3" fillId="9" borderId="9" xfId="0" applyNumberFormat="1" applyFont="1" applyFill="1" applyBorder="1"/>
    <xf numFmtId="44" fontId="0" fillId="9" borderId="1" xfId="1" applyFont="1" applyFill="1" applyBorder="1"/>
    <xf numFmtId="44" fontId="0" fillId="9" borderId="2" xfId="1" applyFont="1" applyFill="1" applyBorder="1"/>
    <xf numFmtId="44" fontId="0" fillId="9" borderId="10" xfId="1" applyFont="1" applyFill="1" applyBorder="1"/>
    <xf numFmtId="44" fontId="2" fillId="9" borderId="1" xfId="1" applyFont="1" applyFill="1" applyBorder="1"/>
    <xf numFmtId="8" fontId="4" fillId="9" borderId="47" xfId="1" applyNumberFormat="1" applyFont="1" applyFill="1" applyBorder="1"/>
    <xf numFmtId="8" fontId="4" fillId="9" borderId="14" xfId="1" applyNumberFormat="1" applyFont="1" applyFill="1" applyBorder="1"/>
    <xf numFmtId="0" fontId="2" fillId="5" borderId="21" xfId="0" applyFont="1" applyFill="1" applyBorder="1" applyAlignment="1" applyProtection="1">
      <alignment horizontal="center" vertical="center" wrapText="1"/>
    </xf>
    <xf numFmtId="0" fontId="2" fillId="5" borderId="41"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0" fillId="0" borderId="0" xfId="0" applyNumberFormat="1" applyFont="1" applyFill="1" applyBorder="1" applyAlignment="1" applyProtection="1">
      <alignment vertical="top" wrapText="1"/>
    </xf>
    <xf numFmtId="0" fontId="0" fillId="0" borderId="0" xfId="0" applyNumberFormat="1" applyFont="1" applyFill="1" applyBorder="1" applyAlignment="1" applyProtection="1">
      <alignment horizontal="left" vertical="top" wrapText="1"/>
    </xf>
    <xf numFmtId="0" fontId="0" fillId="0" borderId="0" xfId="0" applyNumberFormat="1" applyFont="1" applyFill="1" applyBorder="1" applyAlignment="1" applyProtection="1">
      <alignment horizontal="center" wrapText="1"/>
    </xf>
    <xf numFmtId="44" fontId="0" fillId="2" borderId="1" xfId="1" applyFont="1" applyFill="1" applyBorder="1" applyAlignment="1" applyProtection="1">
      <alignment horizontal="center" wrapText="1"/>
    </xf>
    <xf numFmtId="0" fontId="22" fillId="6" borderId="0" xfId="0" applyFont="1" applyFill="1" applyAlignment="1" applyProtection="1"/>
    <xf numFmtId="0" fontId="22" fillId="6" borderId="0" xfId="0" applyFont="1" applyFill="1" applyAlignment="1" applyProtection="1">
      <alignment horizontal="center"/>
    </xf>
    <xf numFmtId="0" fontId="0" fillId="4" borderId="13" xfId="0" applyFont="1" applyFill="1" applyBorder="1" applyAlignment="1" applyProtection="1">
      <alignment horizontal="left"/>
      <protection locked="0"/>
    </xf>
    <xf numFmtId="0" fontId="0" fillId="4" borderId="20" xfId="0" applyFont="1" applyFill="1" applyBorder="1" applyAlignment="1" applyProtection="1">
      <alignment horizontal="left"/>
      <protection locked="0"/>
    </xf>
    <xf numFmtId="0" fontId="2" fillId="5" borderId="21" xfId="0" applyFont="1" applyFill="1" applyBorder="1" applyAlignment="1" applyProtection="1">
      <alignment horizontal="center" vertical="center" wrapText="1"/>
    </xf>
    <xf numFmtId="0" fontId="2" fillId="5" borderId="22" xfId="0" applyFont="1" applyFill="1" applyBorder="1" applyAlignment="1" applyProtection="1">
      <alignment horizontal="center" vertical="center" wrapText="1"/>
    </xf>
    <xf numFmtId="0" fontId="0" fillId="4" borderId="13" xfId="0" applyFont="1" applyFill="1" applyBorder="1" applyAlignment="1" applyProtection="1">
      <alignment horizontal="left" wrapText="1"/>
      <protection locked="0"/>
    </xf>
    <xf numFmtId="0" fontId="0" fillId="4" borderId="16" xfId="0" applyFont="1" applyFill="1" applyBorder="1" applyAlignment="1" applyProtection="1">
      <alignment horizontal="left" wrapText="1"/>
      <protection locked="0"/>
    </xf>
    <xf numFmtId="0" fontId="0" fillId="4" borderId="20" xfId="0" applyFont="1" applyFill="1" applyBorder="1" applyAlignment="1" applyProtection="1">
      <alignment horizontal="left" wrapText="1"/>
      <protection locked="0"/>
    </xf>
    <xf numFmtId="0" fontId="11" fillId="4" borderId="58" xfId="0" applyFont="1" applyFill="1" applyBorder="1" applyAlignment="1" applyProtection="1">
      <alignment horizontal="center"/>
      <protection locked="0"/>
    </xf>
    <xf numFmtId="0" fontId="11" fillId="4" borderId="59" xfId="0" applyFont="1" applyFill="1" applyBorder="1" applyAlignment="1" applyProtection="1">
      <alignment horizontal="center"/>
      <protection locked="0"/>
    </xf>
    <xf numFmtId="0" fontId="0" fillId="4" borderId="23" xfId="0" applyFont="1" applyFill="1" applyBorder="1" applyAlignment="1" applyProtection="1">
      <alignment horizontal="left"/>
      <protection locked="0"/>
    </xf>
    <xf numFmtId="0" fontId="0" fillId="4" borderId="32" xfId="0" applyFont="1" applyFill="1" applyBorder="1" applyAlignment="1" applyProtection="1">
      <alignment horizontal="left"/>
      <protection locked="0"/>
    </xf>
    <xf numFmtId="0" fontId="0" fillId="4" borderId="24" xfId="0" applyFont="1" applyFill="1" applyBorder="1" applyAlignment="1" applyProtection="1">
      <alignment horizontal="left"/>
      <protection locked="0"/>
    </xf>
    <xf numFmtId="0" fontId="0" fillId="4" borderId="25" xfId="0" applyFont="1" applyFill="1" applyBorder="1" applyAlignment="1" applyProtection="1">
      <alignment horizontal="left"/>
      <protection locked="0"/>
    </xf>
    <xf numFmtId="0" fontId="0" fillId="4" borderId="0" xfId="0" applyFont="1" applyFill="1" applyBorder="1" applyAlignment="1" applyProtection="1">
      <alignment horizontal="left"/>
      <protection locked="0"/>
    </xf>
    <xf numFmtId="0" fontId="0" fillId="4" borderId="26" xfId="0" applyFont="1" applyFill="1" applyBorder="1" applyAlignment="1" applyProtection="1">
      <alignment horizontal="left"/>
      <protection locked="0"/>
    </xf>
    <xf numFmtId="0" fontId="29" fillId="6" borderId="0" xfId="0" applyFont="1" applyFill="1" applyBorder="1" applyAlignment="1" applyProtection="1">
      <alignment horizontal="left" wrapText="1"/>
    </xf>
    <xf numFmtId="0" fontId="0" fillId="4" borderId="18" xfId="0" applyFont="1" applyFill="1" applyBorder="1" applyAlignment="1" applyProtection="1">
      <alignment horizontal="left"/>
      <protection locked="0"/>
    </xf>
    <xf numFmtId="0" fontId="0" fillId="4" borderId="19" xfId="0" applyFont="1" applyFill="1" applyBorder="1" applyAlignment="1" applyProtection="1">
      <alignment horizontal="left"/>
      <protection locked="0"/>
    </xf>
    <xf numFmtId="0" fontId="0" fillId="4" borderId="18" xfId="0" applyFont="1" applyFill="1" applyBorder="1" applyAlignment="1" applyProtection="1">
      <alignment horizontal="left" wrapText="1"/>
      <protection locked="0"/>
    </xf>
    <xf numFmtId="0" fontId="0" fillId="4" borderId="31" xfId="0" applyFont="1" applyFill="1" applyBorder="1" applyAlignment="1" applyProtection="1">
      <alignment horizontal="left" wrapText="1"/>
      <protection locked="0"/>
    </xf>
    <xf numFmtId="0" fontId="0" fillId="4" borderId="19" xfId="0" applyFont="1" applyFill="1" applyBorder="1" applyAlignment="1" applyProtection="1">
      <alignment horizontal="left" wrapText="1"/>
      <protection locked="0"/>
    </xf>
    <xf numFmtId="0" fontId="0" fillId="4" borderId="14" xfId="0" applyFont="1" applyFill="1" applyBorder="1" applyAlignment="1" applyProtection="1">
      <alignment horizontal="left"/>
      <protection locked="0"/>
    </xf>
    <xf numFmtId="0" fontId="0" fillId="4" borderId="33" xfId="0" applyFont="1" applyFill="1" applyBorder="1" applyAlignment="1" applyProtection="1">
      <alignment horizontal="left"/>
      <protection locked="0"/>
    </xf>
    <xf numFmtId="0" fontId="0" fillId="4" borderId="15" xfId="0" applyFont="1" applyFill="1" applyBorder="1" applyAlignment="1" applyProtection="1">
      <alignment horizontal="left"/>
      <protection locked="0"/>
    </xf>
    <xf numFmtId="0" fontId="16" fillId="4" borderId="0" xfId="0" applyFont="1" applyFill="1" applyBorder="1" applyAlignment="1">
      <alignment horizontal="left" vertical="top" wrapText="1"/>
    </xf>
    <xf numFmtId="0" fontId="2" fillId="5" borderId="29"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1" xfId="0" applyFont="1" applyFill="1" applyBorder="1" applyAlignment="1" applyProtection="1">
      <alignment horizontal="center" vertical="center" wrapText="1"/>
    </xf>
    <xf numFmtId="0" fontId="2" fillId="5" borderId="44" xfId="0" applyFont="1" applyFill="1" applyBorder="1" applyAlignment="1" applyProtection="1">
      <alignment horizontal="center" vertical="center" wrapText="1"/>
    </xf>
    <xf numFmtId="0" fontId="4" fillId="5" borderId="41" xfId="0" applyFont="1" applyFill="1" applyBorder="1" applyAlignment="1" applyProtection="1">
      <alignment horizontal="center" vertical="center" wrapText="1"/>
    </xf>
    <xf numFmtId="0" fontId="4" fillId="5" borderId="44" xfId="0" applyFont="1" applyFill="1" applyBorder="1" applyAlignment="1" applyProtection="1">
      <alignment horizontal="center" vertical="center" wrapText="1"/>
    </xf>
    <xf numFmtId="0" fontId="16" fillId="4" borderId="0" xfId="0" applyFont="1" applyFill="1" applyBorder="1" applyAlignment="1" applyProtection="1">
      <alignment horizontal="left" vertical="top" wrapText="1"/>
    </xf>
    <xf numFmtId="0" fontId="2" fillId="5" borderId="50" xfId="0" applyFont="1" applyFill="1" applyBorder="1" applyAlignment="1" applyProtection="1">
      <alignment horizontal="center" vertical="center" wrapText="1"/>
    </xf>
    <xf numFmtId="49" fontId="0" fillId="4" borderId="13" xfId="0" applyNumberFormat="1" applyFont="1" applyFill="1" applyBorder="1" applyAlignment="1" applyProtection="1">
      <alignment horizontal="left" vertical="center" wrapText="1"/>
      <protection locked="0"/>
    </xf>
    <xf numFmtId="49" fontId="0" fillId="4" borderId="16" xfId="0" applyNumberFormat="1" applyFont="1" applyFill="1" applyBorder="1" applyAlignment="1" applyProtection="1">
      <alignment horizontal="left" vertical="center" wrapText="1"/>
      <protection locked="0"/>
    </xf>
    <xf numFmtId="49" fontId="0" fillId="4" borderId="3" xfId="0" applyNumberFormat="1" applyFont="1" applyFill="1" applyBorder="1" applyAlignment="1" applyProtection="1">
      <alignment horizontal="left" vertical="center" wrapText="1"/>
      <protection locked="0"/>
    </xf>
    <xf numFmtId="0" fontId="2" fillId="5" borderId="52"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53" xfId="0" applyFont="1" applyFill="1" applyBorder="1" applyAlignment="1" applyProtection="1">
      <alignment horizontal="center" vertical="center" wrapText="1"/>
    </xf>
    <xf numFmtId="0" fontId="2" fillId="5" borderId="48" xfId="0" applyFont="1" applyFill="1" applyBorder="1" applyAlignment="1" applyProtection="1">
      <alignment horizontal="center" vertical="center" wrapText="1"/>
    </xf>
    <xf numFmtId="0" fontId="2" fillId="5" borderId="54" xfId="0" applyFont="1" applyFill="1" applyBorder="1" applyAlignment="1" applyProtection="1">
      <alignment horizontal="center" vertical="center" wrapText="1"/>
    </xf>
    <xf numFmtId="0" fontId="2" fillId="5" borderId="55" xfId="0" applyFont="1" applyFill="1" applyBorder="1" applyAlignment="1" applyProtection="1">
      <alignment horizontal="center" vertical="center" wrapText="1"/>
    </xf>
    <xf numFmtId="0" fontId="2" fillId="5" borderId="56" xfId="0" applyFont="1" applyFill="1" applyBorder="1" applyAlignment="1" applyProtection="1">
      <alignment horizontal="center" vertical="center" wrapText="1"/>
    </xf>
    <xf numFmtId="0" fontId="2" fillId="5" borderId="33"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49" fontId="0" fillId="4" borderId="18" xfId="0" applyNumberFormat="1" applyFont="1" applyFill="1" applyBorder="1" applyAlignment="1" applyProtection="1">
      <alignment horizontal="left" vertical="center" wrapText="1"/>
      <protection locked="0"/>
    </xf>
    <xf numFmtId="49" fontId="0" fillId="4" borderId="31" xfId="0" applyNumberFormat="1" applyFont="1" applyFill="1" applyBorder="1" applyAlignment="1" applyProtection="1">
      <alignment horizontal="left" vertical="center" wrapText="1"/>
      <protection locked="0"/>
    </xf>
    <xf numFmtId="49" fontId="0" fillId="4" borderId="49" xfId="0" applyNumberFormat="1" applyFont="1" applyFill="1" applyBorder="1" applyAlignment="1" applyProtection="1">
      <alignment horizontal="left" vertical="center" wrapText="1"/>
      <protection locked="0"/>
    </xf>
    <xf numFmtId="44" fontId="0" fillId="4" borderId="13" xfId="1" applyFont="1" applyFill="1" applyBorder="1" applyAlignment="1" applyProtection="1">
      <alignment horizontal="center" wrapText="1"/>
      <protection locked="0"/>
    </xf>
    <xf numFmtId="44" fontId="0" fillId="4" borderId="20" xfId="1" applyFont="1" applyFill="1" applyBorder="1" applyAlignment="1" applyProtection="1">
      <alignment horizontal="center" wrapText="1"/>
      <protection locked="0"/>
    </xf>
    <xf numFmtId="44" fontId="0" fillId="4" borderId="13" xfId="1" applyFont="1" applyFill="1" applyBorder="1" applyAlignment="1" applyProtection="1">
      <alignment horizontal="left" vertical="top" wrapText="1"/>
      <protection locked="0"/>
    </xf>
    <xf numFmtId="44" fontId="0" fillId="4" borderId="16" xfId="1" applyFont="1" applyFill="1" applyBorder="1" applyAlignment="1" applyProtection="1">
      <alignment horizontal="left" vertical="top" wrapText="1"/>
      <protection locked="0"/>
    </xf>
    <xf numFmtId="44" fontId="0" fillId="6" borderId="9" xfId="0" applyNumberFormat="1" applyFont="1" applyFill="1" applyBorder="1" applyAlignment="1" applyProtection="1">
      <alignment horizontal="left" vertical="top" wrapText="1"/>
      <protection locked="0"/>
    </xf>
    <xf numFmtId="44" fontId="0" fillId="6" borderId="1" xfId="0" applyNumberFormat="1" applyFont="1" applyFill="1" applyBorder="1" applyAlignment="1" applyProtection="1">
      <alignment horizontal="left" vertical="top" wrapText="1"/>
      <protection locked="0"/>
    </xf>
    <xf numFmtId="44" fontId="0" fillId="6" borderId="10" xfId="0" applyNumberFormat="1" applyFont="1" applyFill="1" applyBorder="1" applyAlignment="1" applyProtection="1">
      <alignment horizontal="left" vertical="top" wrapText="1"/>
      <protection locked="0"/>
    </xf>
    <xf numFmtId="44" fontId="0" fillId="4" borderId="18" xfId="1" applyFont="1" applyFill="1" applyBorder="1" applyAlignment="1" applyProtection="1">
      <alignment horizontal="left" vertical="top" wrapText="1"/>
      <protection locked="0"/>
    </xf>
    <xf numFmtId="44" fontId="0" fillId="4" borderId="31" xfId="1" applyFont="1" applyFill="1" applyBorder="1" applyAlignment="1" applyProtection="1">
      <alignment horizontal="left" vertical="top" wrapText="1"/>
      <protection locked="0"/>
    </xf>
    <xf numFmtId="44" fontId="0" fillId="4" borderId="18" xfId="1" applyFont="1" applyFill="1" applyBorder="1" applyAlignment="1" applyProtection="1">
      <alignment horizontal="center" wrapText="1"/>
      <protection locked="0"/>
    </xf>
    <xf numFmtId="44" fontId="0" fillId="4" borderId="19" xfId="1" applyFont="1" applyFill="1" applyBorder="1" applyAlignment="1" applyProtection="1">
      <alignment horizontal="center" wrapText="1"/>
      <protection locked="0"/>
    </xf>
    <xf numFmtId="0" fontId="24" fillId="7" borderId="57" xfId="0" applyFont="1" applyFill="1" applyBorder="1" applyAlignment="1" applyProtection="1">
      <alignment horizontal="center" vertical="center" wrapText="1"/>
    </xf>
    <xf numFmtId="0" fontId="24" fillId="7" borderId="51" xfId="0" applyFont="1" applyFill="1" applyBorder="1" applyAlignment="1" applyProtection="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5" fillId="4" borderId="16" xfId="0" applyFont="1" applyFill="1" applyBorder="1" applyAlignment="1">
      <alignment horizontal="center"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14" xfId="0" applyFont="1" applyBorder="1" applyAlignment="1">
      <alignment horizontal="right" vertical="center" wrapText="1"/>
    </xf>
    <xf numFmtId="0" fontId="6" fillId="0" borderId="15" xfId="0" applyFont="1" applyBorder="1" applyAlignment="1">
      <alignment horizontal="righ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cellXfs>
  <cellStyles count="6">
    <cellStyle name="Prozent" xfId="2" builtinId="5"/>
    <cellStyle name="Prozent 2" xfId="5"/>
    <cellStyle name="Standard" xfId="0" builtinId="0"/>
    <cellStyle name="Standard 2" xfId="3"/>
    <cellStyle name="Währung" xfId="1" builtinId="4"/>
    <cellStyle name="Währung 2" xfId="4"/>
  </cellStyles>
  <dxfs count="10">
    <dxf>
      <font>
        <color rgb="FF9C0006"/>
      </font>
      <fill>
        <patternFill>
          <bgColor rgb="FFFFC7CE"/>
        </patternFill>
      </fill>
    </dxf>
    <dxf>
      <fill>
        <patternFill>
          <bgColor theme="5" tint="0.79998168889431442"/>
        </patternFill>
      </fill>
      <border>
        <left style="dashed">
          <color rgb="FFFF0000"/>
        </left>
        <right style="dashed">
          <color rgb="FFFF0000"/>
        </right>
        <top style="dashed">
          <color rgb="FFFF0000"/>
        </top>
        <bottom style="dashed">
          <color rgb="FFFF0000"/>
        </bottom>
      </border>
    </dxf>
    <dxf>
      <font>
        <color auto="1"/>
      </font>
      <fill>
        <patternFill patternType="solid">
          <fgColor rgb="FFFF0000"/>
          <bgColor theme="5" tint="0.79998168889431442"/>
        </patternFill>
      </fill>
      <border>
        <left style="dashed">
          <color rgb="FFFF0000"/>
        </left>
        <right style="dashed">
          <color rgb="FFFF0000"/>
        </right>
        <top style="dashed">
          <color rgb="FFFF0000"/>
        </top>
        <bottom style="dashed">
          <color rgb="FFFF0000"/>
        </bottom>
        <vertical/>
        <horizontal/>
      </border>
    </dxf>
    <dxf>
      <font>
        <color theme="0"/>
      </font>
      <fill>
        <patternFill>
          <bgColor theme="0"/>
        </patternFill>
      </fill>
      <border>
        <left/>
        <right/>
        <top/>
        <bottom/>
        <vertical/>
        <horizontal/>
      </border>
    </dxf>
    <dxf>
      <font>
        <color theme="0" tint="-0.24994659260841701"/>
      </font>
      <fill>
        <patternFill>
          <bgColor theme="0" tint="-4.9989318521683403E-2"/>
        </patternFill>
      </fill>
    </dxf>
    <dxf>
      <font>
        <color theme="0" tint="-4.9989318521683403E-2"/>
      </font>
    </dxf>
    <dxf>
      <font>
        <color theme="0" tint="-4.9989318521683403E-2"/>
      </font>
    </dxf>
    <dxf>
      <font>
        <color rgb="FFFF0000"/>
      </font>
    </dxf>
    <dxf>
      <font>
        <color theme="0" tint="-4.9989318521683403E-2"/>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422412</xdr:colOff>
      <xdr:row>6</xdr:row>
      <xdr:rowOff>0</xdr:rowOff>
    </xdr:from>
    <xdr:to>
      <xdr:col>13</xdr:col>
      <xdr:colOff>28104</xdr:colOff>
      <xdr:row>10</xdr:row>
      <xdr:rowOff>48228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3712" y="1228725"/>
          <a:ext cx="4718712" cy="80070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125515</xdr:colOff>
      <xdr:row>6</xdr:row>
      <xdr:rowOff>4</xdr:rowOff>
    </xdr:from>
    <xdr:to>
      <xdr:col>15</xdr:col>
      <xdr:colOff>18366</xdr:colOff>
      <xdr:row>10</xdr:row>
      <xdr:rowOff>46990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6540" y="847729"/>
          <a:ext cx="4731551" cy="79946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57149</xdr:colOff>
      <xdr:row>0</xdr:row>
      <xdr:rowOff>97725</xdr:rowOff>
    </xdr:from>
    <xdr:to>
      <xdr:col>2</xdr:col>
      <xdr:colOff>2124074</xdr:colOff>
      <xdr:row>2</xdr:row>
      <xdr:rowOff>90488</xdr:rowOff>
    </xdr:to>
    <xdr:pic>
      <xdr:nvPicPr>
        <xdr:cNvPr id="2" name="Picture 9" descr="it-logo"/>
        <xdr:cNvPicPr>
          <a:picLocks noChangeAspect="1" noChangeArrowheads="1"/>
        </xdr:cNvPicPr>
      </xdr:nvPicPr>
      <xdr:blipFill>
        <a:blip xmlns:r="http://schemas.openxmlformats.org/officeDocument/2006/relationships" r:embed="rId1" cstate="screen"/>
        <a:srcRect t="47420"/>
        <a:stretch>
          <a:fillRect/>
        </a:stretch>
      </xdr:blipFill>
      <xdr:spPr bwMode="auto">
        <a:xfrm>
          <a:off x="390524" y="97725"/>
          <a:ext cx="2066925" cy="37376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aller\AppData\Local\Microsoft\Windows\INetCache\Content.Outlook\WUYSM8SS\20171212_Markt&#252;bersicht_Version_11.0_Kazenmai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ertung Fahrzeuge"/>
      <sheetName val="E-Fahrzeuge"/>
      <sheetName val="Vergleichsmodelle"/>
    </sheetNames>
    <sheetDataSet>
      <sheetData sheetId="0"/>
      <sheetData sheetId="1">
        <row r="7">
          <cell r="C7" t="str">
            <v>Fab_Typ</v>
          </cell>
          <cell r="D7" t="str">
            <v>Antriebsart</v>
          </cell>
          <cell r="E7" t="str">
            <v>Listenpreis Basismodell netto</v>
          </cell>
          <cell r="F7" t="str">
            <v>Listenpreis Basismodell einschl. Batteriekosten 48 Monate</v>
          </cell>
          <cell r="G7" t="str">
            <v>Nachlass %</v>
          </cell>
          <cell r="H7" t="str">
            <v>Sonderförderung</v>
          </cell>
          <cell r="I7" t="str">
            <v>Nettopreis</v>
          </cell>
          <cell r="J7" t="str">
            <v>Kosten für Batterie 36/45</v>
          </cell>
          <cell r="K7" t="str">
            <v>Kosten für Batterie 48/60</v>
          </cell>
          <cell r="L7" t="str">
            <v>Leasingpreis Batterie netto</v>
          </cell>
          <cell r="M7" t="str">
            <v>Leasinglaufzeit 36/45</v>
          </cell>
          <cell r="N7" t="str">
            <v>Leasinglaufzeit 48/60</v>
          </cell>
          <cell r="O7" t="str">
            <v>Restwert 36/45 in %</v>
          </cell>
          <cell r="P7" t="str">
            <v>Restwert 36/75 in %</v>
          </cell>
          <cell r="Q7" t="str">
            <v>Restwert 48/60</v>
          </cell>
          <cell r="R7" t="str">
            <v xml:space="preserve">Restwert 48/100 </v>
          </cell>
          <cell r="S7" t="str">
            <v>Reichweite elektrisch</v>
          </cell>
          <cell r="T7" t="str">
            <v>Reichweite gesamt</v>
          </cell>
          <cell r="U7" t="str">
            <v>kW</v>
          </cell>
          <cell r="V7" t="str">
            <v>V-max</v>
          </cell>
          <cell r="W7" t="str">
            <v>kWh/100 km</v>
          </cell>
          <cell r="X7" t="str">
            <v>l / 100 km</v>
          </cell>
          <cell r="Y7" t="str">
            <v>Batterie Kapazität in kWh</v>
          </cell>
          <cell r="Z7" t="str">
            <v>Zulässige Gesamtgewicht kg</v>
          </cell>
          <cell r="AA7" t="str">
            <v>Kfz-Steuer</v>
          </cell>
          <cell r="AB7" t="str">
            <v>Energie-trägerkosten</v>
          </cell>
          <cell r="AC7" t="str">
            <v>Vergleichsmodell konventionell</v>
          </cell>
          <cell r="AD7" t="str">
            <v>Listenpreis Vergleichsmodell netto</v>
          </cell>
          <cell r="AE7" t="str">
            <v>Differenz</v>
          </cell>
          <cell r="AF7" t="str">
            <v>Förderung 45%</v>
          </cell>
        </row>
        <row r="8">
          <cell r="C8" t="str">
            <v>BMW i3s Range Extender</v>
          </cell>
          <cell r="D8" t="str">
            <v>Batterie Rangeextender</v>
          </cell>
          <cell r="E8">
            <v>36647.058151260506</v>
          </cell>
          <cell r="F8">
            <v>36647.058151260506</v>
          </cell>
          <cell r="G8">
            <v>0.03</v>
          </cell>
          <cell r="I8">
            <v>35547.646406722692</v>
          </cell>
          <cell r="J8">
            <v>0</v>
          </cell>
          <cell r="K8">
            <v>0</v>
          </cell>
          <cell r="L8">
            <v>0</v>
          </cell>
          <cell r="U8">
            <v>135</v>
          </cell>
          <cell r="Y8">
            <v>18.8</v>
          </cell>
          <cell r="AC8" t="str">
            <v>BMW  116i  5t</v>
          </cell>
          <cell r="AD8">
            <v>21836.55</v>
          </cell>
          <cell r="AE8">
            <v>14810.508151260507</v>
          </cell>
          <cell r="AF8">
            <v>6664.7286680672278</v>
          </cell>
        </row>
        <row r="9">
          <cell r="C9" t="str">
            <v>BMW i3 Range Extender</v>
          </cell>
          <cell r="D9" t="str">
            <v>Batterie Rangeextender</v>
          </cell>
          <cell r="E9">
            <v>35420.168067226892</v>
          </cell>
          <cell r="F9">
            <v>35420.168067226892</v>
          </cell>
          <cell r="G9">
            <v>0.03</v>
          </cell>
          <cell r="I9">
            <v>34357.563025210082</v>
          </cell>
          <cell r="J9">
            <v>0</v>
          </cell>
          <cell r="K9">
            <v>0</v>
          </cell>
          <cell r="L9">
            <v>0</v>
          </cell>
          <cell r="U9">
            <v>125</v>
          </cell>
          <cell r="Y9">
            <v>18.8</v>
          </cell>
          <cell r="AC9" t="str">
            <v>BMW  116i  5t</v>
          </cell>
          <cell r="AD9">
            <v>21836.55</v>
          </cell>
          <cell r="AE9">
            <v>13583.618067226893</v>
          </cell>
          <cell r="AF9">
            <v>6112.628130252102</v>
          </cell>
        </row>
        <row r="10">
          <cell r="C10" t="str">
            <v>BMW i3s</v>
          </cell>
          <cell r="D10" t="str">
            <v>Batterie</v>
          </cell>
          <cell r="E10">
            <v>34579.831932773108</v>
          </cell>
          <cell r="F10">
            <v>34579.831932773108</v>
          </cell>
          <cell r="G10">
            <v>0.03</v>
          </cell>
          <cell r="I10">
            <v>33542.436974789918</v>
          </cell>
          <cell r="J10">
            <v>0</v>
          </cell>
          <cell r="K10">
            <v>0</v>
          </cell>
          <cell r="L10">
            <v>0</v>
          </cell>
          <cell r="U10">
            <v>135</v>
          </cell>
          <cell r="Y10">
            <v>18.8</v>
          </cell>
          <cell r="AC10" t="str">
            <v>BMW  116i  5t</v>
          </cell>
          <cell r="AD10">
            <v>21836.55</v>
          </cell>
          <cell r="AE10">
            <v>12743.281932773109</v>
          </cell>
          <cell r="AF10">
            <v>5734.4768697478994</v>
          </cell>
        </row>
        <row r="11">
          <cell r="C11" t="str">
            <v>BMW i3</v>
          </cell>
          <cell r="D11" t="str">
            <v>Batterie</v>
          </cell>
          <cell r="E11">
            <v>31554.621848739498</v>
          </cell>
          <cell r="F11">
            <v>31554.621848739498</v>
          </cell>
          <cell r="G11">
            <v>0.03</v>
          </cell>
          <cell r="I11">
            <v>30607.983193277312</v>
          </cell>
          <cell r="J11">
            <v>0</v>
          </cell>
          <cell r="K11">
            <v>0</v>
          </cell>
          <cell r="L11">
            <v>0</v>
          </cell>
          <cell r="U11">
            <v>125</v>
          </cell>
          <cell r="Y11">
            <v>18.8</v>
          </cell>
          <cell r="AC11" t="str">
            <v>BMW  116i  5t</v>
          </cell>
          <cell r="AD11">
            <v>21836.55</v>
          </cell>
          <cell r="AE11">
            <v>9718.0718487394988</v>
          </cell>
          <cell r="AF11">
            <v>4373.1323319327748</v>
          </cell>
        </row>
        <row r="12">
          <cell r="C12" t="str">
            <v>Citroen C-Zero</v>
          </cell>
          <cell r="D12" t="str">
            <v>Batterie</v>
          </cell>
          <cell r="E12">
            <v>18319.330000000002</v>
          </cell>
          <cell r="F12">
            <v>18319.330000000002</v>
          </cell>
          <cell r="G12">
            <v>0</v>
          </cell>
          <cell r="I12">
            <v>18319.330000000002</v>
          </cell>
          <cell r="J12">
            <v>0</v>
          </cell>
          <cell r="K12">
            <v>0</v>
          </cell>
          <cell r="L12">
            <v>0</v>
          </cell>
          <cell r="U12">
            <v>49</v>
          </cell>
          <cell r="Y12">
            <v>14.5</v>
          </cell>
          <cell r="AC12" t="str">
            <v>Citroen C1 VTI 68 Shine</v>
          </cell>
          <cell r="AD12">
            <v>11134.45</v>
          </cell>
          <cell r="AE12">
            <v>7184.880000000001</v>
          </cell>
          <cell r="AF12">
            <v>3233.1960000000004</v>
          </cell>
        </row>
        <row r="13">
          <cell r="C13" t="str">
            <v>Mitsubishi Electric Vehicle</v>
          </cell>
          <cell r="D13" t="str">
            <v>Batterie</v>
          </cell>
          <cell r="E13">
            <v>19992</v>
          </cell>
          <cell r="F13">
            <v>19992</v>
          </cell>
          <cell r="G13">
            <v>0</v>
          </cell>
          <cell r="I13">
            <v>19992</v>
          </cell>
          <cell r="J13">
            <v>0</v>
          </cell>
          <cell r="K13">
            <v>0</v>
          </cell>
          <cell r="L13">
            <v>0</v>
          </cell>
          <cell r="U13">
            <v>49</v>
          </cell>
          <cell r="Y13">
            <v>16</v>
          </cell>
          <cell r="AC13" t="str">
            <v>Mitsubishi  Space Star 1.0  5tg</v>
          </cell>
          <cell r="AD13">
            <v>8394.9599999999991</v>
          </cell>
          <cell r="AE13">
            <v>11597.04</v>
          </cell>
          <cell r="AF13">
            <v>5218.6680000000006</v>
          </cell>
        </row>
        <row r="14">
          <cell r="C14" t="str">
            <v>Peugeot iOn</v>
          </cell>
          <cell r="D14" t="str">
            <v>Batterie</v>
          </cell>
          <cell r="E14">
            <v>18319.330000000002</v>
          </cell>
          <cell r="F14">
            <v>18319.330000000002</v>
          </cell>
          <cell r="G14">
            <v>0</v>
          </cell>
          <cell r="I14">
            <v>18319.330000000002</v>
          </cell>
          <cell r="J14">
            <v>0</v>
          </cell>
          <cell r="K14">
            <v>0</v>
          </cell>
          <cell r="L14">
            <v>0</v>
          </cell>
          <cell r="U14">
            <v>49</v>
          </cell>
          <cell r="Y14">
            <v>14.5</v>
          </cell>
          <cell r="AC14" t="str">
            <v>Peugeot  108 Active Vti 68 5tg</v>
          </cell>
          <cell r="AD14">
            <v>9873.9500000000007</v>
          </cell>
          <cell r="AE14">
            <v>8445.380000000001</v>
          </cell>
          <cell r="AF14">
            <v>3800.4210000000007</v>
          </cell>
        </row>
        <row r="15">
          <cell r="C15" t="str">
            <v>Renault ZOE Life 22kWh</v>
          </cell>
          <cell r="D15" t="str">
            <v>Batterie</v>
          </cell>
          <cell r="E15">
            <v>18571.43</v>
          </cell>
          <cell r="F15">
            <v>23371.43</v>
          </cell>
          <cell r="G15">
            <v>0.24</v>
          </cell>
          <cell r="I15">
            <v>18914.286800000002</v>
          </cell>
          <cell r="J15">
            <v>3600</v>
          </cell>
          <cell r="K15">
            <v>4800</v>
          </cell>
          <cell r="L15">
            <v>100</v>
          </cell>
          <cell r="U15">
            <v>65</v>
          </cell>
          <cell r="Y15">
            <v>22</v>
          </cell>
          <cell r="AC15" t="str">
            <v>Renault Clio Life 1.2 16V 75</v>
          </cell>
          <cell r="AD15">
            <v>10075.629999999999</v>
          </cell>
          <cell r="AE15">
            <v>13295.800000000001</v>
          </cell>
          <cell r="AF15">
            <v>5983.1100000000006</v>
          </cell>
        </row>
        <row r="16">
          <cell r="C16" t="str">
            <v>Renault Zoe Intens 22kWh</v>
          </cell>
          <cell r="D16" t="str">
            <v>Batterie</v>
          </cell>
          <cell r="E16">
            <v>20084.03</v>
          </cell>
          <cell r="F16">
            <v>24884.03</v>
          </cell>
          <cell r="G16">
            <v>0.24</v>
          </cell>
          <cell r="I16">
            <v>20063.862799999999</v>
          </cell>
          <cell r="J16">
            <v>3600</v>
          </cell>
          <cell r="K16">
            <v>4800</v>
          </cell>
          <cell r="L16">
            <v>100</v>
          </cell>
          <cell r="U16">
            <v>65</v>
          </cell>
          <cell r="Y16">
            <v>22</v>
          </cell>
          <cell r="AC16" t="str">
            <v>Renault Clio Life 1.2 16V 75</v>
          </cell>
          <cell r="AD16">
            <v>10075.629999999999</v>
          </cell>
          <cell r="AE16">
            <v>14808.4</v>
          </cell>
          <cell r="AF16">
            <v>6663.78</v>
          </cell>
        </row>
        <row r="17">
          <cell r="C17" t="str">
            <v>Volkswagen E-up</v>
          </cell>
          <cell r="D17" t="str">
            <v>Batterie</v>
          </cell>
          <cell r="E17">
            <v>22605.040000000001</v>
          </cell>
          <cell r="F17">
            <v>22605.040000000001</v>
          </cell>
          <cell r="G17">
            <v>0.08</v>
          </cell>
          <cell r="I17">
            <v>20796.6368</v>
          </cell>
          <cell r="J17">
            <v>0</v>
          </cell>
          <cell r="K17">
            <v>0</v>
          </cell>
          <cell r="L17">
            <v>0</v>
          </cell>
          <cell r="U17">
            <v>60</v>
          </cell>
          <cell r="Y17">
            <v>18.7</v>
          </cell>
          <cell r="AC17" t="str">
            <v>VW  Up 1.0 BMT Move Up 3t</v>
          </cell>
          <cell r="AD17">
            <v>9642.86</v>
          </cell>
          <cell r="AE17">
            <v>12962.18</v>
          </cell>
          <cell r="AF17">
            <v>5832.9810000000007</v>
          </cell>
        </row>
        <row r="18">
          <cell r="C18" t="str">
            <v>Kia SOUL EV</v>
          </cell>
          <cell r="D18" t="str">
            <v>Batterie</v>
          </cell>
          <cell r="E18">
            <v>24781.512605042019</v>
          </cell>
          <cell r="F18">
            <v>24781.512605042019</v>
          </cell>
          <cell r="G18">
            <v>0.15</v>
          </cell>
          <cell r="I18">
            <v>21064.285714285717</v>
          </cell>
          <cell r="J18">
            <v>0</v>
          </cell>
          <cell r="K18">
            <v>0</v>
          </cell>
          <cell r="L18">
            <v>0</v>
          </cell>
          <cell r="U18">
            <v>81.400000000000006</v>
          </cell>
          <cell r="Y18">
            <v>27</v>
          </cell>
          <cell r="AC18" t="str">
            <v>KIA Soul 1.6GDI Spirit</v>
          </cell>
          <cell r="AD18">
            <v>19151.259999999998</v>
          </cell>
          <cell r="AE18">
            <v>5630.2526050420201</v>
          </cell>
          <cell r="AF18">
            <v>2533.6136722689093</v>
          </cell>
        </row>
        <row r="19">
          <cell r="C19" t="str">
            <v>VW e-Golf</v>
          </cell>
          <cell r="D19" t="str">
            <v>Batterie</v>
          </cell>
          <cell r="E19">
            <v>30168.07</v>
          </cell>
          <cell r="F19">
            <v>30168.07</v>
          </cell>
          <cell r="G19">
            <v>0.08</v>
          </cell>
          <cell r="I19">
            <v>27754.624400000001</v>
          </cell>
          <cell r="J19">
            <v>0</v>
          </cell>
          <cell r="K19">
            <v>0</v>
          </cell>
          <cell r="L19">
            <v>0</v>
          </cell>
          <cell r="U19">
            <v>85</v>
          </cell>
          <cell r="Y19">
            <v>24.2</v>
          </cell>
          <cell r="AC19" t="str">
            <v>VW Golf Trendline 1.0 63kW 5tg</v>
          </cell>
          <cell r="AD19">
            <v>15945.38</v>
          </cell>
          <cell r="AE19">
            <v>14222.69</v>
          </cell>
          <cell r="AF19">
            <v>6400.2105000000001</v>
          </cell>
        </row>
        <row r="20">
          <cell r="C20" t="str">
            <v>Tesla Model S 75 D</v>
          </cell>
          <cell r="D20" t="str">
            <v>Batterie</v>
          </cell>
          <cell r="E20">
            <v>76680.67</v>
          </cell>
          <cell r="F20">
            <v>76680.67</v>
          </cell>
          <cell r="G20">
            <v>0</v>
          </cell>
          <cell r="I20">
            <v>76680.67</v>
          </cell>
          <cell r="J20">
            <v>0</v>
          </cell>
          <cell r="K20">
            <v>0</v>
          </cell>
          <cell r="L20">
            <v>0</v>
          </cell>
          <cell r="U20">
            <v>158</v>
          </cell>
          <cell r="Y20">
            <v>75</v>
          </cell>
          <cell r="AC20" t="str">
            <v>BMW 530 i xDrive A</v>
          </cell>
          <cell r="AD20">
            <v>44873.95</v>
          </cell>
          <cell r="AE20">
            <v>31806.720000000001</v>
          </cell>
          <cell r="AF20">
            <v>14313.024000000001</v>
          </cell>
        </row>
        <row r="21">
          <cell r="C21" t="str">
            <v>Tesla Model S 100 D</v>
          </cell>
          <cell r="D21" t="str">
            <v>Batterie</v>
          </cell>
          <cell r="E21">
            <v>93109.24</v>
          </cell>
          <cell r="F21">
            <v>93109.24</v>
          </cell>
          <cell r="G21">
            <v>0</v>
          </cell>
          <cell r="I21">
            <v>93109.24</v>
          </cell>
          <cell r="J21">
            <v>0</v>
          </cell>
          <cell r="K21">
            <v>0</v>
          </cell>
          <cell r="L21">
            <v>0</v>
          </cell>
          <cell r="U21">
            <v>169</v>
          </cell>
          <cell r="Y21">
            <v>100</v>
          </cell>
          <cell r="AC21" t="str">
            <v>BMW 540 i xDrive A</v>
          </cell>
          <cell r="AD21">
            <v>51596.639999999999</v>
          </cell>
          <cell r="AE21">
            <v>41512.600000000006</v>
          </cell>
          <cell r="AF21">
            <v>18680.670000000002</v>
          </cell>
        </row>
        <row r="22">
          <cell r="C22" t="str">
            <v>Tesla Model S P100 D</v>
          </cell>
          <cell r="D22" t="str">
            <v>Batterie</v>
          </cell>
          <cell r="E22">
            <v>131176.47</v>
          </cell>
          <cell r="F22">
            <v>131176.47</v>
          </cell>
          <cell r="G22">
            <v>0</v>
          </cell>
          <cell r="I22">
            <v>131176.47</v>
          </cell>
          <cell r="J22">
            <v>0</v>
          </cell>
          <cell r="K22">
            <v>0</v>
          </cell>
          <cell r="L22">
            <v>0</v>
          </cell>
          <cell r="U22">
            <v>169</v>
          </cell>
          <cell r="Y22">
            <v>100</v>
          </cell>
          <cell r="AC22" t="str">
            <v>BMW M550 i xDrive A</v>
          </cell>
          <cell r="AD22">
            <v>70840.34</v>
          </cell>
          <cell r="AE22">
            <v>60336.130000000005</v>
          </cell>
          <cell r="AF22">
            <v>27151.258500000004</v>
          </cell>
        </row>
        <row r="23">
          <cell r="C23" t="str">
            <v>Volkswagen Golf GTE</v>
          </cell>
          <cell r="D23" t="str">
            <v>Plug-in Hybrid</v>
          </cell>
          <cell r="E23">
            <v>31008.400000000001</v>
          </cell>
          <cell r="F23">
            <v>31008.400000000001</v>
          </cell>
          <cell r="G23">
            <v>0.08</v>
          </cell>
          <cell r="I23">
            <v>28527.728000000003</v>
          </cell>
          <cell r="J23">
            <v>0</v>
          </cell>
          <cell r="K23">
            <v>0</v>
          </cell>
          <cell r="L23">
            <v>0</v>
          </cell>
          <cell r="U23">
            <v>110</v>
          </cell>
          <cell r="Y23">
            <v>8.6999999999999993</v>
          </cell>
          <cell r="AC23" t="str">
            <v>VW Golf Trendline 1.0 63kW 5tg</v>
          </cell>
          <cell r="AD23">
            <v>15945.38</v>
          </cell>
          <cell r="AE23">
            <v>15063.020000000002</v>
          </cell>
          <cell r="AF23">
            <v>6778.3590000000013</v>
          </cell>
        </row>
        <row r="24">
          <cell r="C24" t="str">
            <v>Audi A3 Sportback e-tron</v>
          </cell>
          <cell r="D24" t="str">
            <v>Plug-in Hybrid</v>
          </cell>
          <cell r="E24">
            <v>31848.74</v>
          </cell>
          <cell r="F24">
            <v>31848.74</v>
          </cell>
          <cell r="G24">
            <v>0.08</v>
          </cell>
          <cell r="I24">
            <v>29300.840800000002</v>
          </cell>
          <cell r="J24">
            <v>0</v>
          </cell>
          <cell r="K24">
            <v>0</v>
          </cell>
          <cell r="L24">
            <v>0</v>
          </cell>
          <cell r="U24">
            <v>110</v>
          </cell>
          <cell r="Y24">
            <v>8.8000000000000007</v>
          </cell>
          <cell r="AC24" t="str">
            <v xml:space="preserve">Audi  A3 Sportback 1.2TFSI </v>
          </cell>
          <cell r="AD24">
            <v>19411.759999999998</v>
          </cell>
          <cell r="AE24">
            <v>12436.980000000003</v>
          </cell>
          <cell r="AF24">
            <v>5596.6410000000014</v>
          </cell>
        </row>
        <row r="25">
          <cell r="C25" t="str">
            <v>BMW I8</v>
          </cell>
          <cell r="D25" t="str">
            <v>Batterie Rangeextender</v>
          </cell>
          <cell r="E25">
            <v>112605.04</v>
          </cell>
          <cell r="F25">
            <v>112605.04</v>
          </cell>
          <cell r="G25">
            <v>0</v>
          </cell>
          <cell r="I25">
            <v>112605.04</v>
          </cell>
          <cell r="J25">
            <v>0</v>
          </cell>
          <cell r="K25">
            <v>0</v>
          </cell>
          <cell r="L25">
            <v>0</v>
          </cell>
          <cell r="U25">
            <v>170</v>
          </cell>
          <cell r="Y25">
            <v>5.2</v>
          </cell>
          <cell r="AC25" t="str">
            <v>Porsche  991 Carrera</v>
          </cell>
          <cell r="AD25">
            <v>81180</v>
          </cell>
          <cell r="AE25">
            <v>31425.039999999994</v>
          </cell>
          <cell r="AF25">
            <v>14141.267999999998</v>
          </cell>
        </row>
        <row r="26">
          <cell r="C26" t="str">
            <v>Mitsubishi Outlander</v>
          </cell>
          <cell r="D26" t="str">
            <v>Plug-in Hybrid</v>
          </cell>
          <cell r="E26">
            <v>33605.040000000001</v>
          </cell>
          <cell r="F26">
            <v>33605.040000000001</v>
          </cell>
          <cell r="G26">
            <v>0.18</v>
          </cell>
          <cell r="I26">
            <v>27556.132799999999</v>
          </cell>
          <cell r="J26">
            <v>0</v>
          </cell>
          <cell r="K26">
            <v>0</v>
          </cell>
          <cell r="L26">
            <v>0</v>
          </cell>
          <cell r="U26">
            <v>149</v>
          </cell>
          <cell r="Y26">
            <v>12</v>
          </cell>
          <cell r="AC26" t="str">
            <v xml:space="preserve">Mitsubishi  Outlander 2.0 MIVEC CT </v>
          </cell>
          <cell r="AD26">
            <v>19319.330000000002</v>
          </cell>
          <cell r="AE26">
            <v>14285.71</v>
          </cell>
          <cell r="AF26">
            <v>6428.5694999999996</v>
          </cell>
        </row>
        <row r="27">
          <cell r="C27" t="str">
            <v>Citroen Berlingo electric L1</v>
          </cell>
          <cell r="D27" t="str">
            <v>Batterie</v>
          </cell>
          <cell r="E27">
            <v>15690</v>
          </cell>
          <cell r="F27">
            <v>15690</v>
          </cell>
          <cell r="G27">
            <v>0.08</v>
          </cell>
          <cell r="I27">
            <v>14434.8</v>
          </cell>
          <cell r="J27">
            <v>0</v>
          </cell>
          <cell r="K27">
            <v>0</v>
          </cell>
          <cell r="L27">
            <v>0</v>
          </cell>
          <cell r="U27">
            <v>49</v>
          </cell>
          <cell r="Y27">
            <v>22</v>
          </cell>
          <cell r="AC27" t="str">
            <v>Citroen Berlingo VTI 95</v>
          </cell>
          <cell r="AD27">
            <v>14200</v>
          </cell>
          <cell r="AE27">
            <v>1490</v>
          </cell>
          <cell r="AF27">
            <v>670.5</v>
          </cell>
        </row>
        <row r="28">
          <cell r="C28" t="str">
            <v>Hyundai Ioniq Trend</v>
          </cell>
          <cell r="D28" t="str">
            <v>Batterie</v>
          </cell>
          <cell r="E28">
            <v>27983.193277310926</v>
          </cell>
          <cell r="F28">
            <v>27983.193277310926</v>
          </cell>
          <cell r="G28">
            <v>0.19</v>
          </cell>
          <cell r="I28">
            <v>22666.386554621851</v>
          </cell>
          <cell r="J28">
            <v>0</v>
          </cell>
          <cell r="K28">
            <v>0</v>
          </cell>
          <cell r="L28">
            <v>0</v>
          </cell>
          <cell r="U28">
            <v>88</v>
          </cell>
          <cell r="Y28">
            <v>28</v>
          </cell>
          <cell r="AC28" t="str">
            <v>VW Golf Trendline 1.0 63kW 5tg</v>
          </cell>
          <cell r="AD28">
            <v>15945.38</v>
          </cell>
          <cell r="AE28">
            <v>12037.813277310926</v>
          </cell>
          <cell r="AF28">
            <v>5417.015974789917</v>
          </cell>
        </row>
        <row r="29">
          <cell r="C29" t="str">
            <v>Hyundai Ioniq Style</v>
          </cell>
          <cell r="D29" t="str">
            <v>Batterie</v>
          </cell>
          <cell r="E29">
            <v>29831.932773109245</v>
          </cell>
          <cell r="F29">
            <v>29831.932773109245</v>
          </cell>
          <cell r="G29">
            <v>0.19</v>
          </cell>
          <cell r="I29">
            <v>24163.865546218491</v>
          </cell>
          <cell r="J29">
            <v>0</v>
          </cell>
          <cell r="K29">
            <v>0</v>
          </cell>
          <cell r="L29">
            <v>0</v>
          </cell>
          <cell r="U29">
            <v>88</v>
          </cell>
          <cell r="Y29">
            <v>28</v>
          </cell>
          <cell r="AC29" t="str">
            <v>VW Golf Trendline 1.0 63kW 5tg</v>
          </cell>
          <cell r="AD29">
            <v>15945.38</v>
          </cell>
          <cell r="AE29">
            <v>13886.552773109246</v>
          </cell>
          <cell r="AF29">
            <v>6248.9487478991605</v>
          </cell>
        </row>
        <row r="30">
          <cell r="C30" t="str">
            <v>Hyundai Ioniq Premium</v>
          </cell>
          <cell r="D30" t="str">
            <v>Batterie</v>
          </cell>
          <cell r="E30">
            <v>31932.773109243699</v>
          </cell>
          <cell r="F30">
            <v>31932.773109243699</v>
          </cell>
          <cell r="G30">
            <v>0.19</v>
          </cell>
          <cell r="I30">
            <v>25865.546218487398</v>
          </cell>
          <cell r="J30">
            <v>0</v>
          </cell>
          <cell r="K30">
            <v>0</v>
          </cell>
          <cell r="L30">
            <v>0</v>
          </cell>
          <cell r="U30">
            <v>88</v>
          </cell>
          <cell r="Y30">
            <v>28</v>
          </cell>
          <cell r="AC30" t="str">
            <v>VW Golf Trendline 1.0 63kW 5tg</v>
          </cell>
          <cell r="AD30">
            <v>15945.38</v>
          </cell>
          <cell r="AE30">
            <v>15987.3931092437</v>
          </cell>
          <cell r="AF30">
            <v>7194.3268991596651</v>
          </cell>
        </row>
        <row r="31">
          <cell r="C31" t="str">
            <v>Renault Zoe Life  Z.E.40 Batterie</v>
          </cell>
          <cell r="D31" t="str">
            <v>Batterie</v>
          </cell>
          <cell r="E31">
            <v>21932.77</v>
          </cell>
          <cell r="F31">
            <v>26732.77</v>
          </cell>
          <cell r="G31">
            <v>0.24</v>
          </cell>
          <cell r="I31">
            <v>21468.905200000001</v>
          </cell>
          <cell r="J31">
            <v>3600</v>
          </cell>
          <cell r="K31">
            <v>4800</v>
          </cell>
          <cell r="L31">
            <v>100</v>
          </cell>
          <cell r="U31">
            <v>68</v>
          </cell>
          <cell r="Y31">
            <v>41</v>
          </cell>
          <cell r="AC31" t="str">
            <v>Renault Clio Life 1.2 16V 75</v>
          </cell>
          <cell r="AD31">
            <v>10075.629999999999</v>
          </cell>
          <cell r="AE31">
            <v>16657.14</v>
          </cell>
          <cell r="AF31">
            <v>7495.7129999999997</v>
          </cell>
        </row>
        <row r="32">
          <cell r="C32" t="str">
            <v>Renault ZOE Intens Z.E.40 Batterie</v>
          </cell>
          <cell r="D32" t="str">
            <v>Batterie</v>
          </cell>
          <cell r="E32">
            <v>23445.37</v>
          </cell>
          <cell r="F32">
            <v>28245.37</v>
          </cell>
          <cell r="G32">
            <v>0.24</v>
          </cell>
          <cell r="I32">
            <v>22618.481199999998</v>
          </cell>
          <cell r="J32">
            <v>3600</v>
          </cell>
          <cell r="K32">
            <v>4800</v>
          </cell>
          <cell r="L32">
            <v>100</v>
          </cell>
          <cell r="U32">
            <v>68</v>
          </cell>
          <cell r="Y32">
            <v>41</v>
          </cell>
          <cell r="AC32" t="str">
            <v>Renault Clio Life 1.2 16V 75</v>
          </cell>
          <cell r="AD32">
            <v>10075.629999999999</v>
          </cell>
          <cell r="AE32">
            <v>18169.739999999998</v>
          </cell>
          <cell r="AF32">
            <v>8176.3829999999989</v>
          </cell>
        </row>
        <row r="33">
          <cell r="C33" t="str">
            <v>Nissan  Leaf</v>
          </cell>
          <cell r="D33" t="str">
            <v>Batterie</v>
          </cell>
          <cell r="E33">
            <v>26848.73949579832</v>
          </cell>
          <cell r="F33">
            <v>26848.73949579832</v>
          </cell>
          <cell r="G33">
            <v>0.15</v>
          </cell>
          <cell r="I33">
            <v>22821.428571428572</v>
          </cell>
          <cell r="J33">
            <v>0</v>
          </cell>
          <cell r="K33">
            <v>0</v>
          </cell>
          <cell r="L33">
            <v>0</v>
          </cell>
          <cell r="U33">
            <v>110</v>
          </cell>
          <cell r="Y33">
            <v>40</v>
          </cell>
          <cell r="AC33" t="str">
            <v>VW Golf Trendline 1.0 63kW 5tg</v>
          </cell>
          <cell r="AD33">
            <v>15945.38</v>
          </cell>
          <cell r="AE33">
            <v>10903.35949579832</v>
          </cell>
          <cell r="AF33">
            <v>4906.5117731092441</v>
          </cell>
        </row>
        <row r="34">
          <cell r="C34" t="str">
            <v>Nissan 2Zero Edition</v>
          </cell>
          <cell r="D34" t="str">
            <v>Batterie</v>
          </cell>
          <cell r="E34">
            <v>29369.747899159665</v>
          </cell>
          <cell r="F34">
            <v>29369.747899159665</v>
          </cell>
          <cell r="G34">
            <v>0.15</v>
          </cell>
          <cell r="I34">
            <v>24964.285714285717</v>
          </cell>
          <cell r="J34">
            <v>0</v>
          </cell>
          <cell r="K34">
            <v>0</v>
          </cell>
          <cell r="L34">
            <v>0</v>
          </cell>
          <cell r="U34">
            <v>110</v>
          </cell>
          <cell r="Y34">
            <v>40</v>
          </cell>
          <cell r="AC34" t="str">
            <v>VW Golf Trendline 1.0 63kW 5tg</v>
          </cell>
          <cell r="AD34">
            <v>15945.38</v>
          </cell>
          <cell r="AE34">
            <v>13424.367899159666</v>
          </cell>
          <cell r="AF34">
            <v>6040.9655546218501</v>
          </cell>
        </row>
        <row r="35">
          <cell r="C35" t="str">
            <v>Nissan E-NV200 Evalia</v>
          </cell>
          <cell r="D35" t="str">
            <v>Batterie</v>
          </cell>
          <cell r="E35">
            <v>28956</v>
          </cell>
          <cell r="F35">
            <v>28956</v>
          </cell>
          <cell r="G35">
            <v>0.15</v>
          </cell>
          <cell r="I35">
            <v>24612.6</v>
          </cell>
          <cell r="J35">
            <v>0</v>
          </cell>
          <cell r="K35">
            <v>0</v>
          </cell>
          <cell r="L35">
            <v>0</v>
          </cell>
          <cell r="U35">
            <v>80</v>
          </cell>
          <cell r="Y35">
            <v>40</v>
          </cell>
          <cell r="AC35" t="str">
            <v>Nissan NV 200 16V110</v>
          </cell>
          <cell r="AD35">
            <v>15150</v>
          </cell>
          <cell r="AE35">
            <v>13806</v>
          </cell>
          <cell r="AF35">
            <v>6212.7</v>
          </cell>
        </row>
        <row r="36">
          <cell r="C36" t="str">
            <v>Nissan E-NV200 Kastenwagen</v>
          </cell>
          <cell r="D36" t="str">
            <v>Batterie</v>
          </cell>
          <cell r="E36">
            <v>28956</v>
          </cell>
          <cell r="F36">
            <v>28956</v>
          </cell>
          <cell r="G36">
            <v>0.15</v>
          </cell>
          <cell r="I36">
            <v>24612.6</v>
          </cell>
          <cell r="J36">
            <v>0</v>
          </cell>
          <cell r="K36">
            <v>0</v>
          </cell>
          <cell r="L36">
            <v>0</v>
          </cell>
          <cell r="U36">
            <v>80</v>
          </cell>
          <cell r="Y36">
            <v>40</v>
          </cell>
          <cell r="AC36" t="str">
            <v>Nissan NV 200 16V110</v>
          </cell>
          <cell r="AD36">
            <v>15150</v>
          </cell>
          <cell r="AE36">
            <v>13806</v>
          </cell>
          <cell r="AF36">
            <v>6212.7</v>
          </cell>
        </row>
        <row r="37">
          <cell r="C37" t="str">
            <v>Nissan E-NV200 Kombi</v>
          </cell>
          <cell r="D37" t="str">
            <v>Batterie</v>
          </cell>
          <cell r="E37">
            <v>28956</v>
          </cell>
          <cell r="F37">
            <v>28956</v>
          </cell>
          <cell r="G37">
            <v>0.15</v>
          </cell>
          <cell r="I37">
            <v>24612.6</v>
          </cell>
          <cell r="J37">
            <v>0</v>
          </cell>
          <cell r="K37">
            <v>0</v>
          </cell>
          <cell r="L37">
            <v>0</v>
          </cell>
          <cell r="U37">
            <v>80</v>
          </cell>
          <cell r="Y37">
            <v>40</v>
          </cell>
          <cell r="AC37" t="str">
            <v>Nissan NV 200 16V110</v>
          </cell>
          <cell r="AD37">
            <v>15150</v>
          </cell>
          <cell r="AE37">
            <v>13806</v>
          </cell>
          <cell r="AF37">
            <v>6212.7</v>
          </cell>
        </row>
        <row r="38">
          <cell r="C38" t="str">
            <v>Renualt  Kangoo Z.E. 33</v>
          </cell>
          <cell r="D38" t="str">
            <v>Batterie</v>
          </cell>
          <cell r="E38">
            <v>20820</v>
          </cell>
          <cell r="F38">
            <v>25524</v>
          </cell>
          <cell r="G38">
            <v>0.24399999999999999</v>
          </cell>
          <cell r="I38">
            <v>20443.919999999998</v>
          </cell>
          <cell r="J38">
            <v>3528</v>
          </cell>
          <cell r="K38">
            <v>4704</v>
          </cell>
          <cell r="L38">
            <v>98</v>
          </cell>
          <cell r="U38">
            <v>44</v>
          </cell>
          <cell r="Y38">
            <v>33</v>
          </cell>
          <cell r="AC38" t="str">
            <v>Renault  Kangoo Rapid ENERGY TCe115 84kW</v>
          </cell>
          <cell r="AD38">
            <v>15970</v>
          </cell>
          <cell r="AE38">
            <v>9554</v>
          </cell>
          <cell r="AF38">
            <v>4299.3</v>
          </cell>
        </row>
        <row r="39">
          <cell r="C39" t="str">
            <v>Renualt  Kangoo Z.E. 33 Maxi 2 Sitzer</v>
          </cell>
          <cell r="D39" t="str">
            <v>Batterie</v>
          </cell>
          <cell r="E39">
            <v>22020</v>
          </cell>
          <cell r="F39">
            <v>26724</v>
          </cell>
          <cell r="G39">
            <v>0.24399999999999999</v>
          </cell>
          <cell r="I39">
            <v>21351.119999999999</v>
          </cell>
          <cell r="J39">
            <v>3528</v>
          </cell>
          <cell r="K39">
            <v>4704</v>
          </cell>
          <cell r="L39">
            <v>98</v>
          </cell>
          <cell r="U39">
            <v>44</v>
          </cell>
          <cell r="Y39">
            <v>33</v>
          </cell>
          <cell r="AC39" t="str">
            <v>Renault  Kangoo Rapid ENERGY TCe115 84kW</v>
          </cell>
          <cell r="AD39">
            <v>15970</v>
          </cell>
          <cell r="AE39">
            <v>10754</v>
          </cell>
          <cell r="AF39">
            <v>4839.3</v>
          </cell>
        </row>
        <row r="40">
          <cell r="C40" t="str">
            <v>Renualt  Kangoo Z.E. 33 Maxi 5 Sitzer</v>
          </cell>
          <cell r="D40" t="str">
            <v>Batterie</v>
          </cell>
          <cell r="E40">
            <v>22820</v>
          </cell>
          <cell r="F40">
            <v>27524</v>
          </cell>
          <cell r="G40">
            <v>0.24399999999999999</v>
          </cell>
          <cell r="I40">
            <v>21955.919999999998</v>
          </cell>
          <cell r="J40">
            <v>3528</v>
          </cell>
          <cell r="K40">
            <v>4704</v>
          </cell>
          <cell r="L40">
            <v>98</v>
          </cell>
          <cell r="U40">
            <v>44</v>
          </cell>
          <cell r="Y40">
            <v>33</v>
          </cell>
          <cell r="AC40" t="str">
            <v>Renault  Kangoo Rapid ENERGY TCe115 84kW</v>
          </cell>
          <cell r="AD40">
            <v>15970</v>
          </cell>
          <cell r="AE40">
            <v>11554</v>
          </cell>
          <cell r="AF40">
            <v>5199.3</v>
          </cell>
        </row>
        <row r="41">
          <cell r="C41" t="str">
            <v>Renualt  Kangoo Z.E. 33 Maxi Doppelkabine</v>
          </cell>
          <cell r="D41" t="str">
            <v>Batterie</v>
          </cell>
          <cell r="E41">
            <v>23220</v>
          </cell>
          <cell r="F41">
            <v>27924</v>
          </cell>
          <cell r="G41">
            <v>0.24399999999999999</v>
          </cell>
          <cell r="I41">
            <v>22258.32</v>
          </cell>
          <cell r="J41">
            <v>3528</v>
          </cell>
          <cell r="K41">
            <v>4704</v>
          </cell>
          <cell r="L41">
            <v>98</v>
          </cell>
          <cell r="U41">
            <v>44</v>
          </cell>
          <cell r="Y41">
            <v>33</v>
          </cell>
          <cell r="AC41" t="str">
            <v>Renault  Kangoo Rapid ENERGY TCe115 84kW</v>
          </cell>
          <cell r="AD41">
            <v>15970</v>
          </cell>
          <cell r="AE41">
            <v>11954</v>
          </cell>
          <cell r="AF41">
            <v>5379.3</v>
          </cell>
        </row>
        <row r="42">
          <cell r="C42" t="str">
            <v>Streetscooter Work</v>
          </cell>
          <cell r="D42" t="str">
            <v>Batterie</v>
          </cell>
          <cell r="E42">
            <v>31950</v>
          </cell>
          <cell r="F42">
            <v>31950</v>
          </cell>
          <cell r="G42">
            <v>0</v>
          </cell>
          <cell r="I42">
            <v>31950</v>
          </cell>
          <cell r="J42">
            <v>0</v>
          </cell>
          <cell r="K42">
            <v>0</v>
          </cell>
          <cell r="L42">
            <v>0</v>
          </cell>
          <cell r="U42">
            <v>48</v>
          </cell>
          <cell r="Y42">
            <v>20</v>
          </cell>
          <cell r="AC42" t="str">
            <v>Renault  Kangoo Rapid ENERGY TCe115 84kW</v>
          </cell>
          <cell r="AD42">
            <v>15970</v>
          </cell>
          <cell r="AE42">
            <v>15980</v>
          </cell>
          <cell r="AF42">
            <v>7191</v>
          </cell>
        </row>
        <row r="43">
          <cell r="C43" t="str">
            <v>Streetscooter Work L</v>
          </cell>
          <cell r="D43" t="str">
            <v>Batterie</v>
          </cell>
          <cell r="E43">
            <v>38950</v>
          </cell>
          <cell r="F43">
            <v>38950</v>
          </cell>
          <cell r="G43">
            <v>0</v>
          </cell>
          <cell r="I43">
            <v>38950</v>
          </cell>
          <cell r="J43">
            <v>0</v>
          </cell>
          <cell r="K43">
            <v>0</v>
          </cell>
          <cell r="L43">
            <v>0</v>
          </cell>
          <cell r="U43">
            <v>48</v>
          </cell>
          <cell r="Y43">
            <v>30</v>
          </cell>
          <cell r="AC43" t="str">
            <v>Renault  Kangoo Rapid ENERGY TCe115 84kW</v>
          </cell>
          <cell r="AD43">
            <v>15970</v>
          </cell>
          <cell r="AE43">
            <v>22980</v>
          </cell>
          <cell r="AF43">
            <v>10341</v>
          </cell>
        </row>
        <row r="44">
          <cell r="C44" t="str">
            <v>smart fortwo electric drive.</v>
          </cell>
          <cell r="D44" t="str">
            <v>Batterie</v>
          </cell>
          <cell r="E44">
            <v>18436.97</v>
          </cell>
          <cell r="F44">
            <v>18436.97</v>
          </cell>
          <cell r="G44">
            <v>0.13</v>
          </cell>
          <cell r="I44">
            <v>16040.163900000001</v>
          </cell>
          <cell r="J44">
            <v>0</v>
          </cell>
          <cell r="K44">
            <v>0</v>
          </cell>
          <cell r="L44">
            <v>0</v>
          </cell>
          <cell r="U44">
            <v>60</v>
          </cell>
          <cell r="Y44">
            <v>17.600000000000001</v>
          </cell>
          <cell r="AC44" t="str">
            <v xml:space="preserve">Smart  Fortwo 1.0  </v>
          </cell>
          <cell r="AD44">
            <v>9331.93</v>
          </cell>
          <cell r="AE44">
            <v>9105.0400000000009</v>
          </cell>
          <cell r="AF44">
            <v>4097.2680000000009</v>
          </cell>
        </row>
        <row r="45">
          <cell r="C45" t="str">
            <v>smart fortwo cabrio electric drive.</v>
          </cell>
          <cell r="D45" t="str">
            <v>Batterie</v>
          </cell>
          <cell r="E45">
            <v>21176.47</v>
          </cell>
          <cell r="F45">
            <v>21176.47</v>
          </cell>
          <cell r="G45">
            <v>0.13</v>
          </cell>
          <cell r="I45">
            <v>18423.528900000001</v>
          </cell>
          <cell r="J45">
            <v>0</v>
          </cell>
          <cell r="K45">
            <v>0</v>
          </cell>
          <cell r="L45">
            <v>0</v>
          </cell>
          <cell r="U45">
            <v>60</v>
          </cell>
          <cell r="Y45">
            <v>17.600000000000001</v>
          </cell>
          <cell r="AC45" t="str">
            <v xml:space="preserve">Smart  Fortwo 1.0  </v>
          </cell>
          <cell r="AD45">
            <v>9331.93</v>
          </cell>
          <cell r="AE45">
            <v>11844.54</v>
          </cell>
          <cell r="AF45">
            <v>5330.0430000000006</v>
          </cell>
        </row>
        <row r="46">
          <cell r="C46" t="str">
            <v>smart forfour electric drive.</v>
          </cell>
          <cell r="D46" t="str">
            <v>Batterie</v>
          </cell>
          <cell r="E46">
            <v>18991.599999999999</v>
          </cell>
          <cell r="F46">
            <v>18991.599999999999</v>
          </cell>
          <cell r="G46">
            <v>0.13</v>
          </cell>
          <cell r="I46">
            <v>16522.691999999999</v>
          </cell>
          <cell r="J46">
            <v>0</v>
          </cell>
          <cell r="K46">
            <v>0</v>
          </cell>
          <cell r="L46">
            <v>0</v>
          </cell>
          <cell r="U46">
            <v>60</v>
          </cell>
          <cell r="Y46">
            <v>17.600000000000001</v>
          </cell>
          <cell r="AC46" t="str">
            <v xml:space="preserve">Smart  Fortwo 1.0  </v>
          </cell>
          <cell r="AD46">
            <v>9331.93</v>
          </cell>
          <cell r="AE46">
            <v>9659.6699999999983</v>
          </cell>
          <cell r="AF46">
            <v>4346.8514999999998</v>
          </cell>
        </row>
        <row r="47">
          <cell r="C47" t="str">
            <v>BMW 225xe iPerformance Active Tourer</v>
          </cell>
          <cell r="D47" t="str">
            <v>Plug-in Hybrid</v>
          </cell>
          <cell r="E47">
            <v>31554.62</v>
          </cell>
          <cell r="F47">
            <v>31554.62</v>
          </cell>
          <cell r="G47">
            <v>0.23499999999999999</v>
          </cell>
          <cell r="I47">
            <v>24139.284299999999</v>
          </cell>
          <cell r="J47">
            <v>0</v>
          </cell>
          <cell r="K47">
            <v>0</v>
          </cell>
          <cell r="L47">
            <v>0</v>
          </cell>
          <cell r="U47">
            <v>165</v>
          </cell>
          <cell r="Y47">
            <v>5.7</v>
          </cell>
          <cell r="AC47" t="str">
            <v>BMW  220i Active Tourer</v>
          </cell>
          <cell r="AD47">
            <v>27268.94</v>
          </cell>
          <cell r="AE47">
            <v>4285.68</v>
          </cell>
          <cell r="AF47">
            <v>1928.5560000000003</v>
          </cell>
        </row>
        <row r="48">
          <cell r="C48" t="str">
            <v>Tesla Model X 75D</v>
          </cell>
          <cell r="D48" t="str">
            <v>Batterie</v>
          </cell>
          <cell r="E48">
            <v>76680.672268907569</v>
          </cell>
          <cell r="F48">
            <v>76680.672268907569</v>
          </cell>
          <cell r="G48">
            <v>0</v>
          </cell>
          <cell r="I48">
            <v>76680.672268907569</v>
          </cell>
          <cell r="J48">
            <v>0</v>
          </cell>
          <cell r="K48">
            <v>0</v>
          </cell>
          <cell r="L48">
            <v>0</v>
          </cell>
          <cell r="U48">
            <v>158</v>
          </cell>
          <cell r="Y48">
            <v>75</v>
          </cell>
          <cell r="AC48" t="str">
            <v>BMW X5 xDrive 35i</v>
          </cell>
          <cell r="AD48">
            <v>55798.32</v>
          </cell>
          <cell r="AE48">
            <v>20882.352268907569</v>
          </cell>
          <cell r="AF48">
            <v>9397.0585210084064</v>
          </cell>
        </row>
        <row r="49">
          <cell r="C49" t="str">
            <v>Tesla Model X 100D</v>
          </cell>
          <cell r="D49" t="str">
            <v>Batterie</v>
          </cell>
          <cell r="E49">
            <v>93109.243697478989</v>
          </cell>
          <cell r="F49">
            <v>93109.243697478989</v>
          </cell>
          <cell r="G49">
            <v>0</v>
          </cell>
          <cell r="I49">
            <v>93109.243697478989</v>
          </cell>
          <cell r="J49">
            <v>0</v>
          </cell>
          <cell r="K49">
            <v>0</v>
          </cell>
          <cell r="L49">
            <v>0</v>
          </cell>
          <cell r="U49">
            <v>169</v>
          </cell>
          <cell r="Y49">
            <v>100</v>
          </cell>
          <cell r="AC49" t="str">
            <v>BMW X5 xDrive 50i</v>
          </cell>
          <cell r="AD49">
            <v>71764.710000000006</v>
          </cell>
          <cell r="AE49">
            <v>21344.533697478983</v>
          </cell>
          <cell r="AF49">
            <v>9605.0401638655421</v>
          </cell>
        </row>
        <row r="50">
          <cell r="C50" t="str">
            <v>Tesla Model X P100D</v>
          </cell>
          <cell r="D50" t="str">
            <v>Batterie</v>
          </cell>
          <cell r="E50">
            <v>131176.4705882353</v>
          </cell>
          <cell r="F50">
            <v>131176.4705882353</v>
          </cell>
          <cell r="G50">
            <v>0</v>
          </cell>
          <cell r="I50">
            <v>131176.4705882353</v>
          </cell>
          <cell r="J50">
            <v>0</v>
          </cell>
          <cell r="K50">
            <v>0</v>
          </cell>
          <cell r="L50">
            <v>0</v>
          </cell>
          <cell r="U50">
            <v>169</v>
          </cell>
          <cell r="Y50">
            <v>100</v>
          </cell>
          <cell r="AC50" t="str">
            <v>BMW X5 M</v>
          </cell>
          <cell r="AD50">
            <v>101428.57</v>
          </cell>
          <cell r="AE50">
            <v>29747.900588235294</v>
          </cell>
          <cell r="AF50">
            <v>13386.555264705883</v>
          </cell>
        </row>
        <row r="51">
          <cell r="C51" t="str">
            <v>BMW  330e</v>
          </cell>
          <cell r="D51" t="str">
            <v>Plug-in Hybrid</v>
          </cell>
          <cell r="E51">
            <v>38361.34453781513</v>
          </cell>
          <cell r="F51">
            <v>38361.34453781513</v>
          </cell>
          <cell r="G51">
            <v>0.26</v>
          </cell>
          <cell r="I51">
            <v>28387.394957983197</v>
          </cell>
          <cell r="J51">
            <v>0</v>
          </cell>
          <cell r="K51">
            <v>0</v>
          </cell>
          <cell r="L51">
            <v>0</v>
          </cell>
          <cell r="U51">
            <v>185</v>
          </cell>
          <cell r="Y51">
            <v>7.6</v>
          </cell>
          <cell r="AC51" t="str">
            <v>BMW 330i xDrive Limousine 135 kW</v>
          </cell>
          <cell r="AD51">
            <v>35210.08403361345</v>
          </cell>
          <cell r="AE51">
            <v>3151.2605042016803</v>
          </cell>
          <cell r="AF51">
            <v>1418.0672268907563</v>
          </cell>
        </row>
        <row r="52">
          <cell r="C52" t="str">
            <v>BMW  530e</v>
          </cell>
          <cell r="D52" t="str">
            <v>Plug-in Hybrid</v>
          </cell>
          <cell r="E52">
            <v>45042.016806722691</v>
          </cell>
          <cell r="F52">
            <v>45042.016806722691</v>
          </cell>
          <cell r="G52">
            <v>0.22</v>
          </cell>
          <cell r="I52">
            <v>35132.773109243702</v>
          </cell>
          <cell r="J52">
            <v>0</v>
          </cell>
          <cell r="K52">
            <v>0</v>
          </cell>
          <cell r="L52">
            <v>0</v>
          </cell>
          <cell r="U52">
            <v>185</v>
          </cell>
          <cell r="Y52">
            <v>7.6</v>
          </cell>
          <cell r="AC52" t="str">
            <v>BMW 530i xDrive Limousine 185 kW</v>
          </cell>
          <cell r="AD52">
            <v>44873.949579831933</v>
          </cell>
          <cell r="AE52">
            <v>168.06722689075832</v>
          </cell>
          <cell r="AF52">
            <v>75.630252100841247</v>
          </cell>
        </row>
        <row r="53">
          <cell r="C53" t="str">
            <v>Citroën  E-Mehari</v>
          </cell>
          <cell r="D53" t="str">
            <v>Batterie</v>
          </cell>
          <cell r="E53">
            <v>20831.932773109245</v>
          </cell>
          <cell r="F53">
            <v>20831.932773109245</v>
          </cell>
          <cell r="G53">
            <v>0</v>
          </cell>
          <cell r="I53">
            <v>20831.932773109245</v>
          </cell>
          <cell r="J53">
            <v>0</v>
          </cell>
          <cell r="K53">
            <v>0</v>
          </cell>
          <cell r="L53">
            <v>0</v>
          </cell>
          <cell r="U53">
            <v>50</v>
          </cell>
          <cell r="Y53">
            <v>30</v>
          </cell>
          <cell r="AD53" t="str">
            <v/>
          </cell>
          <cell r="AE53" t="str">
            <v/>
          </cell>
          <cell r="AF53" t="str">
            <v/>
          </cell>
        </row>
        <row r="54">
          <cell r="C54" t="str">
            <v xml:space="preserve">Hyundai  Ioniq Plug-in-Hybrid Trend </v>
          </cell>
          <cell r="D54" t="str">
            <v>Plug-in Hybrid</v>
          </cell>
          <cell r="E54">
            <v>25126.050420168067</v>
          </cell>
          <cell r="F54">
            <v>25126.050420168067</v>
          </cell>
          <cell r="G54">
            <v>0.19</v>
          </cell>
          <cell r="I54">
            <v>20352.100840336134</v>
          </cell>
          <cell r="J54">
            <v>0</v>
          </cell>
          <cell r="K54">
            <v>0</v>
          </cell>
          <cell r="L54">
            <v>0</v>
          </cell>
          <cell r="U54">
            <v>104</v>
          </cell>
          <cell r="Y54">
            <v>8.9</v>
          </cell>
          <cell r="AC54" t="str">
            <v>VW Golf Trendline 1.0 63kW 5tg</v>
          </cell>
          <cell r="AD54">
            <v>15945.38</v>
          </cell>
          <cell r="AE54">
            <v>9180.6704201680677</v>
          </cell>
          <cell r="AF54">
            <v>4131.3016890756307</v>
          </cell>
        </row>
        <row r="55">
          <cell r="C55" t="str">
            <v>Hyundai Ioniq Plug-in-Hybrid Style</v>
          </cell>
          <cell r="D55" t="str">
            <v>Plug-in Hybrid</v>
          </cell>
          <cell r="E55">
            <v>27941.176470588238</v>
          </cell>
          <cell r="F55">
            <v>27941.176470588238</v>
          </cell>
          <cell r="G55">
            <v>0.19</v>
          </cell>
          <cell r="I55">
            <v>22632.352941176472</v>
          </cell>
          <cell r="J55">
            <v>0</v>
          </cell>
          <cell r="K55">
            <v>0</v>
          </cell>
          <cell r="L55">
            <v>0</v>
          </cell>
          <cell r="U55">
            <v>104</v>
          </cell>
          <cell r="Y55">
            <v>8.9</v>
          </cell>
          <cell r="AC55" t="str">
            <v>VW Golf Trendline 1.0 63kW 5tg</v>
          </cell>
          <cell r="AD55">
            <v>15945.38</v>
          </cell>
          <cell r="AE55">
            <v>11995.796470588239</v>
          </cell>
          <cell r="AF55">
            <v>5398.1084117647079</v>
          </cell>
        </row>
        <row r="56">
          <cell r="C56" t="str">
            <v>Hyundai Ioniq Plug-in-Hybrid Premium</v>
          </cell>
          <cell r="D56" t="str">
            <v>Plug-in Hybrid</v>
          </cell>
          <cell r="E56">
            <v>30042.016806722691</v>
          </cell>
          <cell r="F56">
            <v>30042.016806722691</v>
          </cell>
          <cell r="G56">
            <v>0.19</v>
          </cell>
          <cell r="I56">
            <v>24334.033613445379</v>
          </cell>
          <cell r="J56">
            <v>0</v>
          </cell>
          <cell r="K56">
            <v>0</v>
          </cell>
          <cell r="L56">
            <v>0</v>
          </cell>
          <cell r="U56">
            <v>104</v>
          </cell>
          <cell r="Y56">
            <v>8.9</v>
          </cell>
          <cell r="AC56" t="str">
            <v>VW Golf Trendline 1.0 63kW 5tg</v>
          </cell>
          <cell r="AD56">
            <v>15945.38</v>
          </cell>
          <cell r="AE56">
            <v>14096.636806722692</v>
          </cell>
          <cell r="AF56">
            <v>6343.4865630252116</v>
          </cell>
        </row>
        <row r="57">
          <cell r="C57" t="str">
            <v>Maxus EV80 Panel van</v>
          </cell>
          <cell r="D57" t="str">
            <v>Batterie</v>
          </cell>
          <cell r="E57" t="str">
            <v xml:space="preserve">k.A. </v>
          </cell>
          <cell r="J57">
            <v>0</v>
          </cell>
          <cell r="K57">
            <v>0</v>
          </cell>
          <cell r="L57">
            <v>0</v>
          </cell>
          <cell r="U57" t="str">
            <v>K.A.</v>
          </cell>
          <cell r="Y57" t="str">
            <v>K.A.</v>
          </cell>
          <cell r="AD57" t="str">
            <v/>
          </cell>
          <cell r="AE57" t="str">
            <v/>
          </cell>
          <cell r="AF57" t="str">
            <v/>
          </cell>
        </row>
        <row r="58">
          <cell r="C58" t="str">
            <v>Maxus EV80 Chassis cabin</v>
          </cell>
          <cell r="D58" t="str">
            <v>Batterie</v>
          </cell>
          <cell r="E58" t="str">
            <v xml:space="preserve">k.A. </v>
          </cell>
          <cell r="J58">
            <v>0</v>
          </cell>
          <cell r="K58">
            <v>0</v>
          </cell>
          <cell r="L58">
            <v>0</v>
          </cell>
          <cell r="U58" t="str">
            <v>K.A.</v>
          </cell>
          <cell r="Y58" t="str">
            <v>K.A.</v>
          </cell>
          <cell r="AD58" t="str">
            <v/>
          </cell>
          <cell r="AE58" t="str">
            <v/>
          </cell>
          <cell r="AF58" t="str">
            <v/>
          </cell>
        </row>
        <row r="59">
          <cell r="C59" t="str">
            <v>Mercedes-Benz C 350e T-Modell</v>
          </cell>
          <cell r="D59" t="str">
            <v>Plug-in Hybrid</v>
          </cell>
          <cell r="E59">
            <v>44300</v>
          </cell>
          <cell r="F59">
            <v>44300</v>
          </cell>
          <cell r="G59">
            <v>0.14000000000000001</v>
          </cell>
          <cell r="I59">
            <v>38098</v>
          </cell>
          <cell r="J59">
            <v>0</v>
          </cell>
          <cell r="K59">
            <v>0</v>
          </cell>
          <cell r="L59">
            <v>0</v>
          </cell>
          <cell r="U59">
            <v>211</v>
          </cell>
          <cell r="Y59">
            <v>6.2</v>
          </cell>
          <cell r="AC59" t="str">
            <v>Mercedes C 300 T-Modell 180 kW</v>
          </cell>
          <cell r="AD59">
            <v>38280</v>
          </cell>
          <cell r="AE59">
            <v>6020</v>
          </cell>
          <cell r="AF59">
            <v>2709</v>
          </cell>
        </row>
        <row r="60">
          <cell r="C60" t="str">
            <v>Mercedes-Benz C 350e</v>
          </cell>
          <cell r="D60" t="str">
            <v>Plug-in Hybrid</v>
          </cell>
          <cell r="E60">
            <v>42900</v>
          </cell>
          <cell r="F60">
            <v>42900</v>
          </cell>
          <cell r="G60">
            <v>0.14000000000000001</v>
          </cell>
          <cell r="I60">
            <v>36894</v>
          </cell>
          <cell r="J60">
            <v>0</v>
          </cell>
          <cell r="K60">
            <v>0</v>
          </cell>
          <cell r="L60">
            <v>0</v>
          </cell>
          <cell r="U60">
            <v>211</v>
          </cell>
          <cell r="Y60">
            <v>6.2</v>
          </cell>
          <cell r="AC60" t="str">
            <v>Mercedes C 300 Limousine 180 kW</v>
          </cell>
          <cell r="AD60">
            <v>36880</v>
          </cell>
          <cell r="AE60">
            <v>6020</v>
          </cell>
          <cell r="AF60">
            <v>2709</v>
          </cell>
        </row>
        <row r="61">
          <cell r="C61" t="str">
            <v>Mercedes-Benz E 350e</v>
          </cell>
          <cell r="D61" t="str">
            <v>Plug-in Hybrid</v>
          </cell>
          <cell r="E61">
            <v>49950</v>
          </cell>
          <cell r="F61">
            <v>49950</v>
          </cell>
          <cell r="G61">
            <v>0.14000000000000001</v>
          </cell>
          <cell r="I61">
            <v>42957</v>
          </cell>
          <cell r="J61">
            <v>0</v>
          </cell>
          <cell r="K61">
            <v>0</v>
          </cell>
          <cell r="L61">
            <v>0</v>
          </cell>
          <cell r="U61">
            <v>211</v>
          </cell>
          <cell r="Y61">
            <v>6.2</v>
          </cell>
          <cell r="AC61" t="str">
            <v>Mercedes E 300 Limousine 180 kW</v>
          </cell>
          <cell r="AD61">
            <v>44450</v>
          </cell>
          <cell r="AE61">
            <v>5500</v>
          </cell>
          <cell r="AF61">
            <v>2475</v>
          </cell>
        </row>
        <row r="62">
          <cell r="C62" t="str">
            <v>Mini Cooper S E Countryman ALL4</v>
          </cell>
          <cell r="D62" t="str">
            <v>Plug-in Hybrid</v>
          </cell>
          <cell r="E62" t="str">
            <v xml:space="preserve">k.A. </v>
          </cell>
          <cell r="G62">
            <v>0</v>
          </cell>
          <cell r="J62">
            <v>0</v>
          </cell>
          <cell r="K62">
            <v>0</v>
          </cell>
          <cell r="L62">
            <v>0</v>
          </cell>
          <cell r="U62" t="str">
            <v>K.A.</v>
          </cell>
          <cell r="Y62" t="str">
            <v>K.A.</v>
          </cell>
          <cell r="AD62" t="str">
            <v/>
          </cell>
          <cell r="AE62" t="str">
            <v/>
          </cell>
          <cell r="AF62" t="str">
            <v/>
          </cell>
        </row>
        <row r="63">
          <cell r="C63" t="str">
            <v>Mitsubishi Outlander Plug-in Hybrid</v>
          </cell>
          <cell r="D63" t="str">
            <v>Plug-in Hybrid</v>
          </cell>
          <cell r="E63">
            <v>33605.042016806721</v>
          </cell>
          <cell r="F63">
            <v>33605.042016806721</v>
          </cell>
          <cell r="G63">
            <v>0.18</v>
          </cell>
          <cell r="I63">
            <v>27556.134453781509</v>
          </cell>
          <cell r="J63">
            <v>0</v>
          </cell>
          <cell r="K63">
            <v>0</v>
          </cell>
          <cell r="L63">
            <v>0</v>
          </cell>
          <cell r="U63">
            <v>149</v>
          </cell>
          <cell r="Y63">
            <v>12</v>
          </cell>
          <cell r="AC63" t="str">
            <v xml:space="preserve">Mitsubishi  Outlander 2.0 MIVEC CT </v>
          </cell>
          <cell r="AD63">
            <v>19319.330000000002</v>
          </cell>
          <cell r="AE63">
            <v>14285.712016806719</v>
          </cell>
          <cell r="AF63">
            <v>6428.5704075630238</v>
          </cell>
        </row>
        <row r="64">
          <cell r="C64" t="str">
            <v>Mitsubishi Outlander Plug-in Hybrid, Plus</v>
          </cell>
          <cell r="D64" t="str">
            <v>Plug-in Hybrid</v>
          </cell>
          <cell r="E64">
            <v>38647.058823529413</v>
          </cell>
          <cell r="F64">
            <v>38647.058823529413</v>
          </cell>
          <cell r="G64">
            <v>0.18</v>
          </cell>
          <cell r="I64">
            <v>31690.588235294119</v>
          </cell>
          <cell r="J64">
            <v>0</v>
          </cell>
          <cell r="K64">
            <v>0</v>
          </cell>
          <cell r="L64">
            <v>0</v>
          </cell>
          <cell r="U64">
            <v>149</v>
          </cell>
          <cell r="Y64">
            <v>12</v>
          </cell>
          <cell r="AC64" t="str">
            <v xml:space="preserve">Mitsubishi  Outlander 2.0 MIVEC CT </v>
          </cell>
          <cell r="AD64">
            <v>19319.330000000002</v>
          </cell>
          <cell r="AE64">
            <v>19327.728823529411</v>
          </cell>
          <cell r="AF64">
            <v>8697.4779705882356</v>
          </cell>
        </row>
        <row r="65">
          <cell r="C65" t="str">
            <v>Mitsubishi Outlander Plug-in Hybrid, Top</v>
          </cell>
          <cell r="D65" t="str">
            <v>Plug-in Hybrid</v>
          </cell>
          <cell r="E65">
            <v>42848.73949579832</v>
          </cell>
          <cell r="F65">
            <v>42848.73949579832</v>
          </cell>
          <cell r="G65">
            <v>0.18</v>
          </cell>
          <cell r="I65">
            <v>35135.966386554624</v>
          </cell>
          <cell r="J65">
            <v>0</v>
          </cell>
          <cell r="K65">
            <v>0</v>
          </cell>
          <cell r="L65">
            <v>0</v>
          </cell>
          <cell r="U65">
            <v>149</v>
          </cell>
          <cell r="Y65">
            <v>12</v>
          </cell>
          <cell r="AC65" t="str">
            <v xml:space="preserve">Mitsubishi  Outlander 2.0 MIVEC CT </v>
          </cell>
          <cell r="AD65">
            <v>19319.330000000002</v>
          </cell>
          <cell r="AE65">
            <v>23529.409495798318</v>
          </cell>
          <cell r="AF65">
            <v>10588.234273109243</v>
          </cell>
        </row>
        <row r="66">
          <cell r="C66" t="str">
            <v>Peugot Partner Electric Kastenwagen L1</v>
          </cell>
          <cell r="D66" t="str">
            <v>Batterie</v>
          </cell>
          <cell r="E66">
            <v>21290</v>
          </cell>
          <cell r="F66">
            <v>21290</v>
          </cell>
          <cell r="G66">
            <v>0</v>
          </cell>
          <cell r="I66">
            <v>21290</v>
          </cell>
          <cell r="J66">
            <v>0</v>
          </cell>
          <cell r="K66">
            <v>0</v>
          </cell>
          <cell r="L66">
            <v>0</v>
          </cell>
          <cell r="U66">
            <v>49</v>
          </cell>
          <cell r="Y66">
            <v>22.5</v>
          </cell>
          <cell r="AC66" t="str">
            <v>Peugot  Partner Kastenwagen L1</v>
          </cell>
          <cell r="AD66">
            <v>14600</v>
          </cell>
          <cell r="AE66">
            <v>6690</v>
          </cell>
          <cell r="AF66">
            <v>3010.5</v>
          </cell>
        </row>
        <row r="67">
          <cell r="C67" t="str">
            <v>Toyota Prius Plug-in Hybrid, Comfort</v>
          </cell>
          <cell r="D67" t="str">
            <v>Plug-in Hybrid</v>
          </cell>
          <cell r="E67">
            <v>31554.621848739498</v>
          </cell>
          <cell r="F67">
            <v>31554.621848739498</v>
          </cell>
          <cell r="G67">
            <v>0.1</v>
          </cell>
          <cell r="I67">
            <v>28399.159663865546</v>
          </cell>
          <cell r="J67">
            <v>0</v>
          </cell>
          <cell r="K67">
            <v>0</v>
          </cell>
          <cell r="L67">
            <v>0</v>
          </cell>
          <cell r="U67">
            <v>90</v>
          </cell>
          <cell r="Y67">
            <v>4.4000000000000004</v>
          </cell>
          <cell r="AC67" t="str">
            <v xml:space="preserve">Toyota  Prius 1.8 VVT-i </v>
          </cell>
          <cell r="AD67">
            <v>22563.03</v>
          </cell>
          <cell r="AE67">
            <v>8991.5918487394993</v>
          </cell>
          <cell r="AF67">
            <v>4046.2163319327747</v>
          </cell>
        </row>
        <row r="68">
          <cell r="C68" t="str">
            <v>Toyota Prius Plug-in Hybrid, Solar</v>
          </cell>
          <cell r="D68" t="str">
            <v>Plug-in Hybrid</v>
          </cell>
          <cell r="E68">
            <v>33277.310924369747</v>
          </cell>
          <cell r="F68">
            <v>33277.310924369747</v>
          </cell>
          <cell r="G68">
            <v>0.1</v>
          </cell>
          <cell r="I68">
            <v>29949.579831932773</v>
          </cell>
          <cell r="J68">
            <v>0</v>
          </cell>
          <cell r="K68">
            <v>0</v>
          </cell>
          <cell r="L68">
            <v>0</v>
          </cell>
          <cell r="U68">
            <v>90</v>
          </cell>
          <cell r="Y68">
            <v>4.4000000000000004</v>
          </cell>
          <cell r="AC68" t="str">
            <v xml:space="preserve">Toyota  Prius 1.8 VVT-i </v>
          </cell>
          <cell r="AD68">
            <v>22563.03</v>
          </cell>
          <cell r="AE68">
            <v>10714.280924369748</v>
          </cell>
          <cell r="AF68">
            <v>4821.4264159663871</v>
          </cell>
        </row>
        <row r="69">
          <cell r="C69" t="str">
            <v>Volkswagen Passat GTE Variant</v>
          </cell>
          <cell r="D69" t="str">
            <v>Plug-in Hybrid</v>
          </cell>
          <cell r="E69">
            <v>38025.210084033613</v>
          </cell>
          <cell r="F69">
            <v>38025.210084033613</v>
          </cell>
          <cell r="G69">
            <v>0.08</v>
          </cell>
          <cell r="I69">
            <v>34983.193277310922</v>
          </cell>
          <cell r="J69">
            <v>0</v>
          </cell>
          <cell r="K69">
            <v>0</v>
          </cell>
          <cell r="L69">
            <v>0</v>
          </cell>
          <cell r="U69">
            <v>160</v>
          </cell>
          <cell r="Y69">
            <v>9.9</v>
          </cell>
          <cell r="AC69" t="str">
            <v>VW Passat Trendline 1.4 92kW 5tg</v>
          </cell>
          <cell r="AD69">
            <v>23424.36974789916</v>
          </cell>
          <cell r="AE69">
            <v>14600.840336134454</v>
          </cell>
          <cell r="AF69">
            <v>6570.3781512605046</v>
          </cell>
        </row>
        <row r="70">
          <cell r="C70" t="str">
            <v>Volkswagen e-load up!</v>
          </cell>
          <cell r="D70" t="str">
            <v>Batterie</v>
          </cell>
          <cell r="E70">
            <v>23105.042016806725</v>
          </cell>
          <cell r="F70">
            <v>23105.042016806725</v>
          </cell>
          <cell r="G70">
            <v>0.08</v>
          </cell>
          <cell r="I70">
            <v>21256.638655462186</v>
          </cell>
          <cell r="J70">
            <v>0</v>
          </cell>
          <cell r="K70">
            <v>0</v>
          </cell>
          <cell r="L70">
            <v>0</v>
          </cell>
          <cell r="U70">
            <v>60</v>
          </cell>
          <cell r="Y70">
            <v>18.7</v>
          </cell>
          <cell r="AC70" t="str">
            <v>VW Up 1.0 BMT Load Up 44kw</v>
          </cell>
          <cell r="AD70">
            <v>8382.3529411764703</v>
          </cell>
          <cell r="AE70">
            <v>14722.689075630255</v>
          </cell>
          <cell r="AF70">
            <v>6625.2100840336143</v>
          </cell>
        </row>
        <row r="71">
          <cell r="C71" t="str">
            <v>Volvo V60 D6 Twin Engine (Plug-in-Hybrid), Momentum</v>
          </cell>
          <cell r="D71" t="str">
            <v>Plug-in Hybrid</v>
          </cell>
          <cell r="E71">
            <v>48109.24</v>
          </cell>
          <cell r="F71">
            <v>48109.24</v>
          </cell>
          <cell r="G71">
            <v>0.13500000000000001</v>
          </cell>
          <cell r="I71">
            <v>41614.492599999998</v>
          </cell>
          <cell r="J71">
            <v>0</v>
          </cell>
          <cell r="K71">
            <v>0</v>
          </cell>
          <cell r="L71">
            <v>0</v>
          </cell>
          <cell r="U71">
            <v>212</v>
          </cell>
          <cell r="Y71">
            <v>10.4</v>
          </cell>
          <cell r="AC71" t="str">
            <v>Volvo V60 T6 AWD Geartronic Momentum</v>
          </cell>
          <cell r="AD71">
            <v>42731.09</v>
          </cell>
          <cell r="AE71">
            <v>5378.1500000000015</v>
          </cell>
          <cell r="AF71">
            <v>2420.1675000000009</v>
          </cell>
        </row>
        <row r="72">
          <cell r="C72" t="str">
            <v>Volvo V60 D6 Twin Engine (Plug-in-Hybrid), Summum</v>
          </cell>
          <cell r="D72" t="str">
            <v>Plug-in Hybrid</v>
          </cell>
          <cell r="E72">
            <v>49924.37</v>
          </cell>
          <cell r="F72">
            <v>49924.37</v>
          </cell>
          <cell r="G72">
            <v>0.13500000000000001</v>
          </cell>
          <cell r="I72">
            <v>43184.580050000004</v>
          </cell>
          <cell r="J72">
            <v>0</v>
          </cell>
          <cell r="K72">
            <v>0</v>
          </cell>
          <cell r="L72">
            <v>0</v>
          </cell>
          <cell r="U72">
            <v>300</v>
          </cell>
          <cell r="Y72">
            <v>10.4</v>
          </cell>
          <cell r="AC72" t="str">
            <v>Volvo  V60 T6 AWD Geartronic Summum</v>
          </cell>
          <cell r="AD72">
            <v>44731.11</v>
          </cell>
          <cell r="AE72">
            <v>5193.260000000002</v>
          </cell>
          <cell r="AF72">
            <v>2336.967000000001</v>
          </cell>
        </row>
        <row r="73">
          <cell r="C73" t="str">
            <v>Volvo V60 D6 Twin Engine AWD, R-Design</v>
          </cell>
          <cell r="D73" t="str">
            <v>Plug-in Hybrid</v>
          </cell>
          <cell r="E73">
            <v>50210.080000000002</v>
          </cell>
          <cell r="F73">
            <v>50210.080000000002</v>
          </cell>
          <cell r="G73">
            <v>0.13500000000000001</v>
          </cell>
          <cell r="I73">
            <v>43431.7192</v>
          </cell>
          <cell r="J73">
            <v>0</v>
          </cell>
          <cell r="K73">
            <v>0</v>
          </cell>
          <cell r="L73">
            <v>0</v>
          </cell>
          <cell r="U73">
            <v>212</v>
          </cell>
          <cell r="Y73">
            <v>10.4</v>
          </cell>
          <cell r="AC73" t="str">
            <v>Volvo  V60 T6 AWD Geartronic R Design</v>
          </cell>
          <cell r="AD73">
            <v>44831.93</v>
          </cell>
          <cell r="AE73">
            <v>5378.1500000000015</v>
          </cell>
          <cell r="AF73">
            <v>2420.1675000000009</v>
          </cell>
        </row>
        <row r="74">
          <cell r="C74" t="str">
            <v>Volvo XC60 T8 Twin Engine AWD, Momentum</v>
          </cell>
          <cell r="D74" t="str">
            <v>Plug-in Hybrid</v>
          </cell>
          <cell r="E74">
            <v>56302.52</v>
          </cell>
          <cell r="F74">
            <v>56302.52</v>
          </cell>
          <cell r="G74">
            <v>0.13500000000000001</v>
          </cell>
          <cell r="I74">
            <v>48701.679799999998</v>
          </cell>
          <cell r="J74">
            <v>0</v>
          </cell>
          <cell r="K74">
            <v>0</v>
          </cell>
          <cell r="L74">
            <v>0</v>
          </cell>
          <cell r="U74">
            <v>300</v>
          </cell>
          <cell r="Y74">
            <v>10.4</v>
          </cell>
          <cell r="AC74" t="str">
            <v>Volvo  XC60 T6 AWD Geartronic Momentum</v>
          </cell>
          <cell r="AD74">
            <v>46638.66</v>
          </cell>
          <cell r="AE74">
            <v>9663.8599999999933</v>
          </cell>
          <cell r="AF74">
            <v>4348.7369999999974</v>
          </cell>
        </row>
        <row r="75">
          <cell r="C75" t="str">
            <v>Volvo XC60 T8 Twin Engine AWD, R-Design</v>
          </cell>
          <cell r="D75" t="str">
            <v>Plug-in Hybrid</v>
          </cell>
          <cell r="E75">
            <v>58319.33</v>
          </cell>
          <cell r="F75">
            <v>58319.33</v>
          </cell>
          <cell r="G75">
            <v>0.13500000000000001</v>
          </cell>
          <cell r="I75">
            <v>50446.220450000001</v>
          </cell>
          <cell r="J75">
            <v>0</v>
          </cell>
          <cell r="K75">
            <v>0</v>
          </cell>
          <cell r="L75">
            <v>0</v>
          </cell>
          <cell r="U75">
            <v>300</v>
          </cell>
          <cell r="Y75">
            <v>10.4</v>
          </cell>
          <cell r="AC75" t="str">
            <v>Volvo  XC60 T6 AWD Geartronic R Design</v>
          </cell>
          <cell r="AD75">
            <v>49285.71</v>
          </cell>
          <cell r="AE75">
            <v>9033.6200000000026</v>
          </cell>
          <cell r="AF75">
            <v>4065.1290000000013</v>
          </cell>
        </row>
        <row r="76">
          <cell r="C76" t="str">
            <v>Volvo S90 T8 Twin Engine AWD, Momentum</v>
          </cell>
          <cell r="D76" t="str">
            <v>Plug-in Hybrid</v>
          </cell>
          <cell r="E76">
            <v>58184.87</v>
          </cell>
          <cell r="F76">
            <v>58184.87</v>
          </cell>
          <cell r="G76">
            <v>0.13500000000000001</v>
          </cell>
          <cell r="I76">
            <v>50329.912550000001</v>
          </cell>
          <cell r="J76">
            <v>0</v>
          </cell>
          <cell r="K76">
            <v>0</v>
          </cell>
          <cell r="L76">
            <v>0</v>
          </cell>
          <cell r="U76">
            <v>299</v>
          </cell>
          <cell r="Y76">
            <v>10.4</v>
          </cell>
          <cell r="AC76" t="str">
            <v>Volvo S90 T6 AWD Geartronic Momentum</v>
          </cell>
          <cell r="AD76">
            <v>48781.51</v>
          </cell>
          <cell r="AE76">
            <v>9403.36</v>
          </cell>
          <cell r="AF76">
            <v>4231.5120000000006</v>
          </cell>
        </row>
        <row r="77">
          <cell r="C77" t="str">
            <v>Volvo S90 T8 Twin Engine AWD, R-Design</v>
          </cell>
          <cell r="D77" t="str">
            <v>Plug-in Hybrid</v>
          </cell>
          <cell r="E77">
            <v>59739.5</v>
          </cell>
          <cell r="F77">
            <v>59739.5</v>
          </cell>
          <cell r="G77">
            <v>0.13500000000000001</v>
          </cell>
          <cell r="I77">
            <v>51674.667499999996</v>
          </cell>
          <cell r="J77">
            <v>0</v>
          </cell>
          <cell r="K77">
            <v>0</v>
          </cell>
          <cell r="L77">
            <v>0</v>
          </cell>
          <cell r="U77">
            <v>299</v>
          </cell>
          <cell r="Y77">
            <v>10.4</v>
          </cell>
          <cell r="AC77" t="str">
            <v>Volvo S90 T6 AWD Geartronic R-Design</v>
          </cell>
          <cell r="AD77">
            <v>50798.32</v>
          </cell>
          <cell r="AE77">
            <v>8941.18</v>
          </cell>
          <cell r="AF77">
            <v>4023.5310000000004</v>
          </cell>
        </row>
        <row r="78">
          <cell r="C78" t="str">
            <v>Volvo S90 T8 Twin Engine AWD, Inscription</v>
          </cell>
          <cell r="D78" t="str">
            <v>Plug-in Hybrid</v>
          </cell>
          <cell r="E78">
            <v>61294.12</v>
          </cell>
          <cell r="F78">
            <v>61294.12</v>
          </cell>
          <cell r="G78">
            <v>0.13500000000000001</v>
          </cell>
          <cell r="I78">
            <v>53019.413800000002</v>
          </cell>
          <cell r="J78">
            <v>0</v>
          </cell>
          <cell r="K78">
            <v>0</v>
          </cell>
          <cell r="L78">
            <v>0</v>
          </cell>
          <cell r="U78">
            <v>299</v>
          </cell>
          <cell r="Y78">
            <v>10.4</v>
          </cell>
          <cell r="AC78" t="str">
            <v>Volvo S90 T6 AWD Geartronic Inscription</v>
          </cell>
          <cell r="AD78">
            <v>52058.82</v>
          </cell>
          <cell r="AE78">
            <v>9235.3000000000029</v>
          </cell>
          <cell r="AF78">
            <v>4155.8850000000011</v>
          </cell>
        </row>
        <row r="79">
          <cell r="C79" t="str">
            <v>Volvo V90 T8 Twin Engine AWD, Momentum</v>
          </cell>
          <cell r="D79" t="str">
            <v>Plug-in Hybrid</v>
          </cell>
          <cell r="E79">
            <v>61176.47</v>
          </cell>
          <cell r="F79">
            <v>61176.47</v>
          </cell>
          <cell r="G79">
            <v>0.13500000000000001</v>
          </cell>
          <cell r="I79">
            <v>52917.646550000005</v>
          </cell>
          <cell r="J79">
            <v>0</v>
          </cell>
          <cell r="K79">
            <v>0</v>
          </cell>
          <cell r="L79">
            <v>0</v>
          </cell>
          <cell r="U79">
            <v>300</v>
          </cell>
          <cell r="Y79">
            <v>10.4</v>
          </cell>
          <cell r="AC79" t="str">
            <v>Volvo V90 T6 AWD Geartronic Momentum</v>
          </cell>
          <cell r="AD79">
            <v>51344.54</v>
          </cell>
          <cell r="AE79">
            <v>9831.93</v>
          </cell>
          <cell r="AF79">
            <v>4424.3685000000005</v>
          </cell>
        </row>
        <row r="80">
          <cell r="C80" t="str">
            <v>Volvo V90 T8 Twin Engine AWD, R-Design</v>
          </cell>
          <cell r="D80" t="str">
            <v>Plug-in Hybrid</v>
          </cell>
          <cell r="E80">
            <v>62731.09</v>
          </cell>
          <cell r="F80">
            <v>62731.09</v>
          </cell>
          <cell r="G80">
            <v>0.13500000000000001</v>
          </cell>
          <cell r="I80">
            <v>54262.392849999997</v>
          </cell>
          <cell r="J80">
            <v>0</v>
          </cell>
          <cell r="K80">
            <v>0</v>
          </cell>
          <cell r="L80">
            <v>0</v>
          </cell>
          <cell r="U80">
            <v>300</v>
          </cell>
          <cell r="Y80">
            <v>10.4</v>
          </cell>
          <cell r="AC80" t="str">
            <v>Volvo V90 T6 AWD Geartronic R-Design</v>
          </cell>
          <cell r="AD80">
            <v>53361.34</v>
          </cell>
          <cell r="AE80">
            <v>9369.75</v>
          </cell>
          <cell r="AF80">
            <v>4216.3874999999998</v>
          </cell>
        </row>
        <row r="81">
          <cell r="C81" t="str">
            <v>Volvo V90 T8 Twin Engine AWD, Inscription</v>
          </cell>
          <cell r="D81" t="str">
            <v>Plug-in Hybrid</v>
          </cell>
          <cell r="E81">
            <v>64285.71</v>
          </cell>
          <cell r="F81">
            <v>64285.71</v>
          </cell>
          <cell r="G81">
            <v>0.13500000000000001</v>
          </cell>
          <cell r="I81">
            <v>55607.139150000003</v>
          </cell>
          <cell r="J81">
            <v>0</v>
          </cell>
          <cell r="K81">
            <v>0</v>
          </cell>
          <cell r="L81">
            <v>0</v>
          </cell>
          <cell r="U81">
            <v>300</v>
          </cell>
          <cell r="Y81">
            <v>10.4</v>
          </cell>
          <cell r="AC81" t="str">
            <v>Volvo V90 T6 AWD Geartronic Inscription</v>
          </cell>
          <cell r="AD81">
            <v>54621.85</v>
          </cell>
          <cell r="AE81">
            <v>9663.86</v>
          </cell>
          <cell r="AF81">
            <v>4348.7370000000001</v>
          </cell>
        </row>
        <row r="82">
          <cell r="C82" t="str">
            <v>BMW 740e iPerformance Steptronic</v>
          </cell>
          <cell r="D82" t="str">
            <v>Plug-in Hybrid</v>
          </cell>
          <cell r="E82">
            <v>81428.571428571435</v>
          </cell>
          <cell r="F82">
            <v>81428.571428571435</v>
          </cell>
          <cell r="G82">
            <v>0.24</v>
          </cell>
          <cell r="I82">
            <v>61885.71428571429</v>
          </cell>
          <cell r="J82">
            <v>0</v>
          </cell>
          <cell r="K82">
            <v>0</v>
          </cell>
          <cell r="L82">
            <v>0</v>
          </cell>
          <cell r="U82">
            <v>240</v>
          </cell>
          <cell r="Y82">
            <v>9.1999999999999993</v>
          </cell>
          <cell r="AC82" t="str">
            <v>Volvo V90 T6 AWD Geartronic Inscription</v>
          </cell>
          <cell r="AD82">
            <v>54621.85</v>
          </cell>
          <cell r="AE82">
            <v>26806.721428571436</v>
          </cell>
          <cell r="AF82">
            <v>12063.024642857146</v>
          </cell>
        </row>
        <row r="83">
          <cell r="C83" t="str">
            <v>BMW 740Le iPerformance</v>
          </cell>
          <cell r="D83" t="str">
            <v>Plug-in Hybrid</v>
          </cell>
          <cell r="E83">
            <v>85714.285714285725</v>
          </cell>
          <cell r="F83">
            <v>85714.285714285725</v>
          </cell>
          <cell r="G83">
            <v>0.24</v>
          </cell>
          <cell r="I83">
            <v>65142.857142857152</v>
          </cell>
          <cell r="J83">
            <v>0</v>
          </cell>
          <cell r="K83">
            <v>0</v>
          </cell>
          <cell r="L83">
            <v>0</v>
          </cell>
          <cell r="U83">
            <v>240</v>
          </cell>
          <cell r="Y83">
            <v>9.1999999999999993</v>
          </cell>
          <cell r="AC83" t="str">
            <v>BMW 740Li Limousine</v>
          </cell>
          <cell r="AD83">
            <v>82773.109243697487</v>
          </cell>
          <cell r="AE83">
            <v>2941.1764705882379</v>
          </cell>
          <cell r="AF83">
            <v>1323.529411764707</v>
          </cell>
        </row>
        <row r="84">
          <cell r="C84" t="str">
            <v>BMW 740Le iPerformance xDrive Steptronic</v>
          </cell>
          <cell r="D84" t="str">
            <v>Plug-in Hybrid</v>
          </cell>
          <cell r="E84">
            <v>88571.42857142858</v>
          </cell>
          <cell r="F84">
            <v>88571.42857142858</v>
          </cell>
          <cell r="G84">
            <v>0.24</v>
          </cell>
          <cell r="I84">
            <v>67314.285714285725</v>
          </cell>
          <cell r="J84">
            <v>0</v>
          </cell>
          <cell r="K84">
            <v>0</v>
          </cell>
          <cell r="L84">
            <v>0</v>
          </cell>
          <cell r="U84">
            <v>240</v>
          </cell>
          <cell r="Y84">
            <v>9.1999999999999993</v>
          </cell>
          <cell r="AC84" t="str">
            <v>BMW 740Li xDrive Limousine</v>
          </cell>
          <cell r="AD84">
            <v>85630.252100840342</v>
          </cell>
          <cell r="AE84">
            <v>2941.1764705882379</v>
          </cell>
          <cell r="AF84">
            <v>1323.529411764707</v>
          </cell>
        </row>
        <row r="85">
          <cell r="C85" t="str">
            <v>Porsche Panamera E-Hybrid Tiptronic S</v>
          </cell>
          <cell r="D85" t="str">
            <v>Plug-in Hybrid</v>
          </cell>
          <cell r="E85">
            <v>91780.67</v>
          </cell>
          <cell r="F85">
            <v>91780.67</v>
          </cell>
          <cell r="G85">
            <v>0.08</v>
          </cell>
          <cell r="I85">
            <v>84438.216400000005</v>
          </cell>
          <cell r="J85">
            <v>0</v>
          </cell>
          <cell r="K85">
            <v>0</v>
          </cell>
          <cell r="L85">
            <v>0</v>
          </cell>
          <cell r="U85">
            <v>340</v>
          </cell>
          <cell r="Y85">
            <v>9.3000000000000007</v>
          </cell>
          <cell r="AC85" t="str">
            <v>Porsche Panamera 4</v>
          </cell>
          <cell r="AD85">
            <v>66874.512605042022</v>
          </cell>
          <cell r="AE85">
            <v>24906.157394957976</v>
          </cell>
          <cell r="AF85">
            <v>11207.77082773109</v>
          </cell>
        </row>
        <row r="86">
          <cell r="C86" t="str">
            <v>BMW X5 xDrive40e iPerformance</v>
          </cell>
          <cell r="D86" t="str">
            <v>Plug-in Hybrid</v>
          </cell>
          <cell r="E86">
            <v>60168.067226890758</v>
          </cell>
          <cell r="F86">
            <v>60168.067226890758</v>
          </cell>
          <cell r="G86">
            <v>0.23</v>
          </cell>
          <cell r="I86">
            <v>46329.411764705881</v>
          </cell>
          <cell r="J86">
            <v>0</v>
          </cell>
          <cell r="K86">
            <v>0</v>
          </cell>
          <cell r="L86">
            <v>0</v>
          </cell>
          <cell r="U86">
            <v>230</v>
          </cell>
          <cell r="Y86">
            <v>9</v>
          </cell>
          <cell r="AC86" t="str">
            <v>BMW X5 xDrive40d</v>
          </cell>
          <cell r="AD86">
            <v>60672.268907563026</v>
          </cell>
          <cell r="AE86">
            <v>-504.20168067226768</v>
          </cell>
          <cell r="AF86">
            <v>-226.89075630252046</v>
          </cell>
        </row>
        <row r="87">
          <cell r="C87" t="str">
            <v>Mercedes GLE 500 e 4MATIC 7G-TRONIC PLUS</v>
          </cell>
          <cell r="D87" t="str">
            <v>Plug-in Hybrid</v>
          </cell>
          <cell r="E87">
            <v>62650</v>
          </cell>
          <cell r="F87">
            <v>62650</v>
          </cell>
          <cell r="G87">
            <v>0.14000000000000001</v>
          </cell>
          <cell r="I87">
            <v>53879</v>
          </cell>
          <cell r="J87">
            <v>0</v>
          </cell>
          <cell r="K87">
            <v>0</v>
          </cell>
          <cell r="L87">
            <v>0</v>
          </cell>
          <cell r="U87">
            <v>325</v>
          </cell>
          <cell r="Y87">
            <v>8.8000000000000007</v>
          </cell>
          <cell r="AC87" t="str">
            <v>Mercedes GLE 500 4Matic 335 kW</v>
          </cell>
          <cell r="AD87">
            <v>71300</v>
          </cell>
          <cell r="AE87">
            <v>-8650</v>
          </cell>
          <cell r="AF87">
            <v>-3892.5</v>
          </cell>
        </row>
        <row r="88">
          <cell r="C88" t="str">
            <v>Mercedes GLC 350 e 4MATIC 7G-TRONIC PLUS</v>
          </cell>
          <cell r="D88" t="str">
            <v>Plug-in Hybrid</v>
          </cell>
          <cell r="E88">
            <v>44630</v>
          </cell>
          <cell r="F88">
            <v>44630</v>
          </cell>
          <cell r="G88">
            <v>0.14000000000000001</v>
          </cell>
          <cell r="I88">
            <v>38381.800000000003</v>
          </cell>
          <cell r="J88">
            <v>0</v>
          </cell>
          <cell r="K88">
            <v>0</v>
          </cell>
          <cell r="L88">
            <v>0</v>
          </cell>
          <cell r="U88">
            <v>235</v>
          </cell>
          <cell r="Y88">
            <v>6.2</v>
          </cell>
          <cell r="AC88" t="str">
            <v>Mercedes GLC 300 4MATIC Coupé 180 kW</v>
          </cell>
          <cell r="AD88">
            <v>46380</v>
          </cell>
          <cell r="AE88">
            <v>-1750</v>
          </cell>
          <cell r="AF88">
            <v>-787.5</v>
          </cell>
        </row>
      </sheetData>
      <sheetData sheetId="2">
        <row r="7">
          <cell r="C7" t="str">
            <v>Fab_Typ</v>
          </cell>
          <cell r="D7" t="str">
            <v>Antriebsart</v>
          </cell>
          <cell r="E7" t="str">
            <v>Listenpreis Basismodell netto</v>
          </cell>
          <cell r="F7" t="str">
            <v>Nachlass in %</v>
          </cell>
          <cell r="G7" t="str">
            <v>Förderung</v>
          </cell>
          <cell r="H7" t="str">
            <v>Nettopreis</v>
          </cell>
          <cell r="I7" t="str">
            <v>Restwert 36/45 in %</v>
          </cell>
          <cell r="J7" t="str">
            <v>Restwert 36/75 in%</v>
          </cell>
          <cell r="K7" t="str">
            <v>Restwert 48/60 in%</v>
          </cell>
          <cell r="L7" t="str">
            <v>Restwert 48/100 in %</v>
          </cell>
          <cell r="M7" t="str">
            <v>Reichweite gesamt</v>
          </cell>
          <cell r="N7" t="str">
            <v>kW</v>
          </cell>
          <cell r="O7" t="str">
            <v>V-max</v>
          </cell>
          <cell r="P7" t="str">
            <v>l / 100 km</v>
          </cell>
          <cell r="Q7" t="str">
            <v>Zulässige Gesamtgewicht kg</v>
          </cell>
          <cell r="R7" t="str">
            <v>Kfz-Steuer</v>
          </cell>
          <cell r="S7" t="str">
            <v>EnergieTrägerkosten</v>
          </cell>
          <cell r="T7" t="str">
            <v>Vergleichsmodell</v>
          </cell>
        </row>
        <row r="8">
          <cell r="C8" t="str">
            <v>BMW  116i  5t</v>
          </cell>
          <cell r="D8" t="str">
            <v>Benzin</v>
          </cell>
          <cell r="E8">
            <v>21836.55</v>
          </cell>
          <cell r="F8">
            <v>0.23</v>
          </cell>
          <cell r="H8">
            <v>16814.143499999998</v>
          </cell>
          <cell r="N8">
            <v>75</v>
          </cell>
        </row>
        <row r="9">
          <cell r="C9" t="str">
            <v>Citroen C1 VTI 68 Shine</v>
          </cell>
          <cell r="D9" t="str">
            <v>Benzin</v>
          </cell>
          <cell r="E9">
            <v>11134.45</v>
          </cell>
          <cell r="F9">
            <v>0.28999999999999998</v>
          </cell>
          <cell r="H9">
            <v>7905.4595000000008</v>
          </cell>
          <cell r="N9">
            <v>51</v>
          </cell>
        </row>
        <row r="10">
          <cell r="C10" t="str">
            <v>Mitsubishi  Space Star 1.0  5tg</v>
          </cell>
          <cell r="D10" t="str">
            <v>Benzin</v>
          </cell>
          <cell r="E10">
            <v>8394.9599999999991</v>
          </cell>
          <cell r="F10">
            <v>0</v>
          </cell>
          <cell r="H10">
            <v>8394.9599999999991</v>
          </cell>
          <cell r="N10">
            <v>52</v>
          </cell>
        </row>
        <row r="11">
          <cell r="C11" t="str">
            <v>Peugeot  108 Active Vti 68 5tg</v>
          </cell>
          <cell r="D11" t="str">
            <v>Benzin</v>
          </cell>
          <cell r="E11">
            <v>9873.9500000000007</v>
          </cell>
          <cell r="F11">
            <v>0.13</v>
          </cell>
          <cell r="H11">
            <v>8590.3365000000013</v>
          </cell>
          <cell r="N11">
            <v>51</v>
          </cell>
        </row>
        <row r="12">
          <cell r="C12" t="str">
            <v>Renault Clio Life 1.2 16V 75</v>
          </cell>
          <cell r="D12" t="str">
            <v>Benzin</v>
          </cell>
          <cell r="E12">
            <v>10075.629999999999</v>
          </cell>
          <cell r="F12">
            <v>0.25</v>
          </cell>
          <cell r="H12">
            <v>7556.7224999999999</v>
          </cell>
          <cell r="N12">
            <v>54</v>
          </cell>
        </row>
        <row r="13">
          <cell r="C13" t="str">
            <v xml:space="preserve">Smart Fortwo 1.0  </v>
          </cell>
          <cell r="D13" t="str">
            <v>Benzin</v>
          </cell>
          <cell r="E13">
            <v>9331.93</v>
          </cell>
          <cell r="F13">
            <v>0.13</v>
          </cell>
          <cell r="H13">
            <v>8118.7790999999997</v>
          </cell>
          <cell r="N13">
            <v>52</v>
          </cell>
        </row>
        <row r="14">
          <cell r="C14" t="str">
            <v xml:space="preserve">Smart  Fortwo 1.0  </v>
          </cell>
          <cell r="D14" t="str">
            <v>Benzin</v>
          </cell>
          <cell r="E14">
            <v>9331.93</v>
          </cell>
          <cell r="F14">
            <v>0.13</v>
          </cell>
          <cell r="H14">
            <v>8118.7790999999997</v>
          </cell>
          <cell r="N14">
            <v>52</v>
          </cell>
        </row>
        <row r="15">
          <cell r="C15" t="str">
            <v>VW  Up 1.0 BMT Move Up 3t</v>
          </cell>
          <cell r="D15" t="str">
            <v>Benzin</v>
          </cell>
          <cell r="E15">
            <v>9642.86</v>
          </cell>
          <cell r="F15">
            <v>0.15</v>
          </cell>
          <cell r="G15">
            <v>400</v>
          </cell>
          <cell r="H15">
            <v>7796.4310000000005</v>
          </cell>
          <cell r="N15">
            <v>44</v>
          </cell>
        </row>
        <row r="16">
          <cell r="C16" t="str">
            <v>Ford  Focus 1.0 ecoBoost  Trend</v>
          </cell>
          <cell r="D16" t="str">
            <v>Benzin</v>
          </cell>
          <cell r="E16">
            <v>17142.86</v>
          </cell>
          <cell r="F16">
            <v>0.35</v>
          </cell>
          <cell r="G16">
            <v>1000</v>
          </cell>
          <cell r="H16">
            <v>10142.859</v>
          </cell>
          <cell r="N16">
            <v>74</v>
          </cell>
        </row>
        <row r="17">
          <cell r="C17" t="str">
            <v>KIA Soul 1.6GDI Spirit</v>
          </cell>
          <cell r="D17" t="str">
            <v>Benzin</v>
          </cell>
          <cell r="E17">
            <v>19151.259999999998</v>
          </cell>
          <cell r="F17">
            <v>0.15</v>
          </cell>
          <cell r="H17">
            <v>16278.570999999998</v>
          </cell>
          <cell r="N17">
            <v>97</v>
          </cell>
        </row>
        <row r="18">
          <cell r="C18" t="str">
            <v xml:space="preserve">Nissan Note 1.2 Acenta </v>
          </cell>
          <cell r="D18" t="str">
            <v>Benzin</v>
          </cell>
          <cell r="E18">
            <v>13546.22</v>
          </cell>
          <cell r="F18">
            <v>0.3</v>
          </cell>
          <cell r="H18">
            <v>9482.3539999999994</v>
          </cell>
          <cell r="N18">
            <v>59</v>
          </cell>
        </row>
        <row r="19">
          <cell r="C19" t="str">
            <v xml:space="preserve">Nissan Note 1.2 Acenta </v>
          </cell>
          <cell r="D19" t="str">
            <v>Benzin</v>
          </cell>
          <cell r="E19">
            <v>13546.22</v>
          </cell>
          <cell r="F19">
            <v>0.3</v>
          </cell>
          <cell r="H19">
            <v>9482.3539999999994</v>
          </cell>
          <cell r="N19">
            <v>59</v>
          </cell>
        </row>
        <row r="20">
          <cell r="C20" t="str">
            <v>Nissan NV 200 16V110</v>
          </cell>
          <cell r="D20" t="str">
            <v>Benzin</v>
          </cell>
          <cell r="E20">
            <v>15150</v>
          </cell>
          <cell r="F20">
            <v>0.3</v>
          </cell>
          <cell r="H20">
            <v>10605</v>
          </cell>
          <cell r="N20">
            <v>59</v>
          </cell>
        </row>
        <row r="21">
          <cell r="C21" t="str">
            <v>VW  Golf Trendline 1.0 63kW 5tg</v>
          </cell>
          <cell r="D21" t="str">
            <v>Benzin</v>
          </cell>
          <cell r="E21">
            <v>15945.38</v>
          </cell>
          <cell r="F21">
            <v>0.15</v>
          </cell>
          <cell r="G21">
            <v>1200</v>
          </cell>
          <cell r="H21">
            <v>12353.573</v>
          </cell>
          <cell r="N21">
            <v>63</v>
          </cell>
        </row>
        <row r="22">
          <cell r="C22" t="str">
            <v>BMW 530 i xDrive A</v>
          </cell>
          <cell r="D22" t="str">
            <v>Benzin</v>
          </cell>
          <cell r="E22">
            <v>44873.95</v>
          </cell>
          <cell r="F22">
            <v>0.22</v>
          </cell>
          <cell r="H22">
            <v>35001.680999999997</v>
          </cell>
          <cell r="N22">
            <v>135</v>
          </cell>
        </row>
        <row r="23">
          <cell r="C23" t="str">
            <v>BMW 540 i xDrive A</v>
          </cell>
          <cell r="D23" t="str">
            <v>Benzin</v>
          </cell>
          <cell r="E23">
            <v>51596.639999999999</v>
          </cell>
          <cell r="F23">
            <v>0.22</v>
          </cell>
          <cell r="H23">
            <v>40245.379199999996</v>
          </cell>
          <cell r="N23">
            <v>250</v>
          </cell>
        </row>
        <row r="24">
          <cell r="C24" t="str">
            <v>BMW M550 i xDrive A</v>
          </cell>
          <cell r="D24" t="str">
            <v>Benzin</v>
          </cell>
          <cell r="E24">
            <v>70840.34</v>
          </cell>
          <cell r="F24">
            <v>0.22</v>
          </cell>
          <cell r="H24">
            <v>55255.465199999999</v>
          </cell>
          <cell r="N24">
            <v>440</v>
          </cell>
        </row>
        <row r="25">
          <cell r="C25" t="str">
            <v>Renault  Kangoo Rapid ENERGY TCe115 84kW</v>
          </cell>
          <cell r="D25" t="str">
            <v>Benzin</v>
          </cell>
          <cell r="E25">
            <v>15970</v>
          </cell>
          <cell r="F25">
            <v>0.33</v>
          </cell>
          <cell r="H25">
            <v>10699.9</v>
          </cell>
          <cell r="N25">
            <v>85</v>
          </cell>
        </row>
        <row r="26">
          <cell r="C26" t="str">
            <v xml:space="preserve">Mercedes B 180 </v>
          </cell>
          <cell r="D26" t="str">
            <v>Benzin</v>
          </cell>
          <cell r="E26">
            <v>23410</v>
          </cell>
          <cell r="F26">
            <v>0.14000000000000001</v>
          </cell>
          <cell r="H26">
            <v>20132.599999999999</v>
          </cell>
          <cell r="N26">
            <v>90</v>
          </cell>
        </row>
        <row r="27">
          <cell r="C27" t="str">
            <v>VW Golf Trendline 1.0 63kW 5tg</v>
          </cell>
          <cell r="D27" t="str">
            <v>Benzin</v>
          </cell>
          <cell r="E27">
            <v>15945.38</v>
          </cell>
          <cell r="F27">
            <v>0.15</v>
          </cell>
          <cell r="G27">
            <v>1200</v>
          </cell>
          <cell r="H27">
            <v>12353.573</v>
          </cell>
          <cell r="N27">
            <v>81</v>
          </cell>
        </row>
        <row r="28">
          <cell r="C28" t="str">
            <v xml:space="preserve">Audi  A3 Sportback 1.2TFSI </v>
          </cell>
          <cell r="D28" t="str">
            <v>Benzin</v>
          </cell>
          <cell r="E28">
            <v>19411.759999999998</v>
          </cell>
          <cell r="F28">
            <v>0.16</v>
          </cell>
          <cell r="G28">
            <v>750</v>
          </cell>
          <cell r="H28">
            <v>15555.878399999998</v>
          </cell>
          <cell r="N28">
            <v>81</v>
          </cell>
        </row>
        <row r="29">
          <cell r="C29" t="str">
            <v>Opel  Astra Lim. Turbo ecoFlex Selelect</v>
          </cell>
          <cell r="D29" t="str">
            <v>Benzin</v>
          </cell>
          <cell r="E29">
            <v>15747.9</v>
          </cell>
          <cell r="F29">
            <v>0.25</v>
          </cell>
          <cell r="H29">
            <v>11810.924999999999</v>
          </cell>
          <cell r="N29">
            <v>88</v>
          </cell>
        </row>
        <row r="30">
          <cell r="C30" t="str">
            <v>Porsche  991 Carrera</v>
          </cell>
          <cell r="D30" t="str">
            <v>Benzin</v>
          </cell>
          <cell r="E30">
            <v>81180</v>
          </cell>
          <cell r="F30">
            <v>0.1</v>
          </cell>
          <cell r="H30">
            <v>73062</v>
          </cell>
          <cell r="N30">
            <v>225</v>
          </cell>
        </row>
        <row r="31">
          <cell r="C31" t="str">
            <v xml:space="preserve">Mercedes S350 BlueTec </v>
          </cell>
          <cell r="D31" t="str">
            <v>Diesel</v>
          </cell>
          <cell r="E31">
            <v>68000</v>
          </cell>
          <cell r="F31">
            <v>0.12</v>
          </cell>
          <cell r="H31">
            <v>59840</v>
          </cell>
          <cell r="N31">
            <v>190</v>
          </cell>
        </row>
        <row r="32">
          <cell r="C32" t="str">
            <v xml:space="preserve">Porsche  Cayenne </v>
          </cell>
          <cell r="D32" t="str">
            <v>Benzin</v>
          </cell>
          <cell r="E32">
            <v>54980.67</v>
          </cell>
          <cell r="F32">
            <v>0.1</v>
          </cell>
          <cell r="H32">
            <v>49482.602999999996</v>
          </cell>
          <cell r="N32">
            <v>220</v>
          </cell>
        </row>
        <row r="33">
          <cell r="C33" t="str">
            <v xml:space="preserve">Porsche  Panamera </v>
          </cell>
          <cell r="D33" t="str">
            <v>Benzin</v>
          </cell>
          <cell r="E33">
            <v>69980.67</v>
          </cell>
          <cell r="F33">
            <v>0.11</v>
          </cell>
          <cell r="H33">
            <v>62282.796300000002</v>
          </cell>
          <cell r="N33">
            <v>228</v>
          </cell>
        </row>
        <row r="34">
          <cell r="C34" t="str">
            <v xml:space="preserve">Volvo  V60 T3 </v>
          </cell>
          <cell r="D34" t="str">
            <v>Benzin</v>
          </cell>
          <cell r="E34">
            <v>25000</v>
          </cell>
          <cell r="F34">
            <v>0.21</v>
          </cell>
          <cell r="H34">
            <v>19750</v>
          </cell>
          <cell r="N34">
            <v>110</v>
          </cell>
        </row>
        <row r="35">
          <cell r="C35" t="str">
            <v xml:space="preserve">Toyota  Prius 1.8 VVT-i </v>
          </cell>
          <cell r="D35" t="str">
            <v>Benzin</v>
          </cell>
          <cell r="E35">
            <v>22563.03</v>
          </cell>
          <cell r="F35">
            <v>0.24</v>
          </cell>
          <cell r="H35">
            <v>17147.9028</v>
          </cell>
          <cell r="N35">
            <v>100</v>
          </cell>
        </row>
        <row r="36">
          <cell r="C36" t="str">
            <v xml:space="preserve">Mitsubishi  Outlander 2.0 MIVEC CT </v>
          </cell>
          <cell r="D36" t="str">
            <v>Benzin</v>
          </cell>
          <cell r="E36">
            <v>19319.330000000002</v>
          </cell>
          <cell r="F36">
            <v>0.22</v>
          </cell>
          <cell r="H36">
            <v>15069.077400000002</v>
          </cell>
          <cell r="N36">
            <v>110</v>
          </cell>
        </row>
        <row r="37">
          <cell r="C37" t="str">
            <v>Citroen Berlingo VTI 95</v>
          </cell>
          <cell r="D37" t="str">
            <v>Benzin</v>
          </cell>
          <cell r="E37">
            <v>14200</v>
          </cell>
          <cell r="F37">
            <v>0.32</v>
          </cell>
          <cell r="H37">
            <v>9656</v>
          </cell>
          <cell r="N37">
            <v>98</v>
          </cell>
        </row>
        <row r="38">
          <cell r="C38" t="str">
            <v>BMW  220i Active Tourer</v>
          </cell>
          <cell r="D38" t="str">
            <v>Benzin</v>
          </cell>
          <cell r="E38">
            <v>27268.94</v>
          </cell>
          <cell r="F38">
            <v>0.23499999999999999</v>
          </cell>
          <cell r="H38">
            <v>20860.739099999999</v>
          </cell>
          <cell r="N38">
            <v>141</v>
          </cell>
        </row>
        <row r="39">
          <cell r="C39" t="str">
            <v>BMW X5 xDrive 35i</v>
          </cell>
          <cell r="D39" t="str">
            <v>Benzin</v>
          </cell>
          <cell r="E39">
            <v>55798.32</v>
          </cell>
          <cell r="F39">
            <v>0.23</v>
          </cell>
          <cell r="H39">
            <v>42964.706399999995</v>
          </cell>
          <cell r="N39">
            <v>225</v>
          </cell>
        </row>
        <row r="40">
          <cell r="C40" t="str">
            <v>BMW X5 xDrive 50i</v>
          </cell>
          <cell r="D40" t="str">
            <v>Benzin</v>
          </cell>
          <cell r="E40">
            <v>71764.710000000006</v>
          </cell>
          <cell r="F40">
            <v>0.23</v>
          </cell>
          <cell r="H40">
            <v>55258.826700000005</v>
          </cell>
          <cell r="N40">
            <v>330</v>
          </cell>
        </row>
        <row r="41">
          <cell r="C41" t="str">
            <v>BMW X5 M</v>
          </cell>
          <cell r="D41" t="str">
            <v>Benzin</v>
          </cell>
          <cell r="E41">
            <v>101428.57</v>
          </cell>
          <cell r="F41">
            <v>0.23</v>
          </cell>
          <cell r="H41">
            <v>78099.998900000006</v>
          </cell>
          <cell r="N41">
            <v>423</v>
          </cell>
        </row>
        <row r="42">
          <cell r="C42" t="str">
            <v>Peugot  Partner Kastenwagen L1</v>
          </cell>
          <cell r="D42" t="str">
            <v>Diesel</v>
          </cell>
          <cell r="E42">
            <v>14600</v>
          </cell>
          <cell r="F42">
            <v>0.15</v>
          </cell>
          <cell r="H42">
            <v>12410</v>
          </cell>
          <cell r="N42">
            <v>72</v>
          </cell>
        </row>
        <row r="43">
          <cell r="C43" t="str">
            <v>VW Passat Trendline 1.4 92kW 5tg</v>
          </cell>
          <cell r="D43" t="str">
            <v>Benzin</v>
          </cell>
          <cell r="E43">
            <v>23424.36974789916</v>
          </cell>
          <cell r="F43">
            <v>0.15</v>
          </cell>
          <cell r="H43">
            <v>19910.714285714286</v>
          </cell>
          <cell r="N43">
            <v>92</v>
          </cell>
        </row>
        <row r="44">
          <cell r="C44" t="str">
            <v>VW Up 1.0 BMT Load Up 44kw</v>
          </cell>
          <cell r="D44" t="str">
            <v>Benzin</v>
          </cell>
          <cell r="E44">
            <v>8382.3529411764703</v>
          </cell>
          <cell r="F44">
            <v>0.15</v>
          </cell>
          <cell r="H44">
            <v>7125</v>
          </cell>
          <cell r="N44">
            <v>44</v>
          </cell>
        </row>
        <row r="45">
          <cell r="C45" t="str">
            <v>BMW 330i xDrive Limousine 135 kW</v>
          </cell>
          <cell r="D45" t="str">
            <v>Benzin</v>
          </cell>
          <cell r="E45">
            <v>35210.08403361345</v>
          </cell>
          <cell r="F45">
            <v>0.26</v>
          </cell>
          <cell r="H45">
            <v>26055.462184873952</v>
          </cell>
          <cell r="N45">
            <v>135</v>
          </cell>
        </row>
        <row r="46">
          <cell r="C46" t="str">
            <v>BMW 530i xDrive Limousine 185 kW</v>
          </cell>
          <cell r="D46" t="str">
            <v>Benzin</v>
          </cell>
          <cell r="E46">
            <v>44873.949579831933</v>
          </cell>
          <cell r="F46">
            <v>0.23</v>
          </cell>
          <cell r="H46">
            <v>34552.941176470587</v>
          </cell>
          <cell r="N46">
            <v>185</v>
          </cell>
        </row>
        <row r="47">
          <cell r="C47" t="str">
            <v>BMW 740Li xDrive Limousine</v>
          </cell>
          <cell r="D47" t="str">
            <v>Benzin</v>
          </cell>
          <cell r="E47">
            <v>85630.252100840342</v>
          </cell>
          <cell r="F47">
            <v>0.24</v>
          </cell>
          <cell r="H47">
            <v>65078.991596638662</v>
          </cell>
          <cell r="N47">
            <v>240</v>
          </cell>
        </row>
        <row r="48">
          <cell r="C48" t="str">
            <v>BMW 740i Limousine</v>
          </cell>
          <cell r="D48" t="str">
            <v>Benzin</v>
          </cell>
          <cell r="E48">
            <v>78151.26050420168</v>
          </cell>
          <cell r="F48">
            <v>0.24</v>
          </cell>
          <cell r="H48">
            <v>59394.957983193279</v>
          </cell>
          <cell r="N48">
            <v>240</v>
          </cell>
        </row>
        <row r="49">
          <cell r="C49" t="str">
            <v>BMW 740Li Limousine</v>
          </cell>
          <cell r="D49" t="str">
            <v>Benzin</v>
          </cell>
          <cell r="E49">
            <v>82773.109243697487</v>
          </cell>
          <cell r="F49">
            <v>0.24</v>
          </cell>
          <cell r="H49">
            <v>62907.563025210089</v>
          </cell>
          <cell r="N49">
            <v>240</v>
          </cell>
        </row>
        <row r="50">
          <cell r="C50" t="str">
            <v>BMW X5 xDrive40d</v>
          </cell>
          <cell r="D50" t="str">
            <v>Benzin</v>
          </cell>
          <cell r="E50">
            <v>60672.268907563026</v>
          </cell>
          <cell r="F50">
            <v>0.23</v>
          </cell>
          <cell r="H50">
            <v>46717.647058823532</v>
          </cell>
          <cell r="N50">
            <v>230</v>
          </cell>
        </row>
        <row r="51">
          <cell r="C51" t="str">
            <v>Mercedes C 300 T-Modell 180 kW</v>
          </cell>
          <cell r="D51" t="str">
            <v>Benzin</v>
          </cell>
          <cell r="E51">
            <v>38280</v>
          </cell>
          <cell r="F51">
            <v>0.14000000000000001</v>
          </cell>
          <cell r="H51">
            <v>32920.800000000003</v>
          </cell>
          <cell r="N51">
            <v>180</v>
          </cell>
        </row>
        <row r="52">
          <cell r="C52" t="str">
            <v>Mercedes C 300 Limousine 180 kW</v>
          </cell>
          <cell r="D52" t="str">
            <v>Benzin</v>
          </cell>
          <cell r="E52">
            <v>36880</v>
          </cell>
          <cell r="F52">
            <v>0.14000000000000001</v>
          </cell>
          <cell r="H52">
            <v>31716.799999999999</v>
          </cell>
          <cell r="N52">
            <v>180</v>
          </cell>
        </row>
        <row r="53">
          <cell r="C53" t="str">
            <v>Mercedes E 300 Limousine 180 kW</v>
          </cell>
          <cell r="D53" t="str">
            <v>Benzin</v>
          </cell>
          <cell r="E53">
            <v>44450</v>
          </cell>
          <cell r="F53">
            <v>0.14000000000000001</v>
          </cell>
          <cell r="H53">
            <v>38227</v>
          </cell>
          <cell r="N53">
            <v>180</v>
          </cell>
        </row>
        <row r="54">
          <cell r="C54" t="str">
            <v>Mercedes GLE 500 4Matic 335 kW</v>
          </cell>
          <cell r="D54" t="str">
            <v>Benzin</v>
          </cell>
          <cell r="E54">
            <v>71300</v>
          </cell>
          <cell r="F54">
            <v>0.14000000000000001</v>
          </cell>
          <cell r="H54">
            <v>61318</v>
          </cell>
          <cell r="N54">
            <v>335</v>
          </cell>
        </row>
        <row r="55">
          <cell r="C55" t="str">
            <v>Mercedes GLC 300 4MATIC Coupé 180 kW</v>
          </cell>
          <cell r="D55" t="str">
            <v>Benzin</v>
          </cell>
          <cell r="E55">
            <v>46380</v>
          </cell>
          <cell r="F55">
            <v>0.14000000000000001</v>
          </cell>
          <cell r="H55">
            <v>39886.800000000003</v>
          </cell>
          <cell r="N55">
            <v>180</v>
          </cell>
        </row>
        <row r="56">
          <cell r="C56" t="str">
            <v>Porsche Panamera 4</v>
          </cell>
          <cell r="D56" t="str">
            <v>Benzin</v>
          </cell>
          <cell r="E56">
            <v>66874.512605042022</v>
          </cell>
          <cell r="F56">
            <v>0.08</v>
          </cell>
          <cell r="H56">
            <v>61524.551596638659</v>
          </cell>
          <cell r="N56">
            <v>243</v>
          </cell>
        </row>
        <row r="57">
          <cell r="C57" t="str">
            <v>Volvo V60 T6 AWD Geartronic Momentum</v>
          </cell>
          <cell r="D57" t="str">
            <v>Benzin</v>
          </cell>
          <cell r="E57">
            <v>42731.09</v>
          </cell>
          <cell r="F57">
            <v>0.13500000000000001</v>
          </cell>
          <cell r="H57">
            <v>36962.392849999997</v>
          </cell>
          <cell r="N57">
            <v>228</v>
          </cell>
        </row>
        <row r="58">
          <cell r="C58" t="str">
            <v>Volvo  V60 T6 AWD Geartronic Summum</v>
          </cell>
          <cell r="D58" t="str">
            <v>Benzin</v>
          </cell>
          <cell r="E58">
            <v>44731.11</v>
          </cell>
          <cell r="F58">
            <v>0.13500000000000001</v>
          </cell>
          <cell r="H58">
            <v>38692.410149999996</v>
          </cell>
          <cell r="N58">
            <v>225</v>
          </cell>
        </row>
        <row r="59">
          <cell r="C59" t="str">
            <v>Volvo  V60 T6 AWD Geartronic R Design</v>
          </cell>
          <cell r="D59" t="str">
            <v>Benzin</v>
          </cell>
          <cell r="E59">
            <v>44831.93</v>
          </cell>
          <cell r="F59">
            <v>0.13500000000000001</v>
          </cell>
          <cell r="H59">
            <v>38779.619449999998</v>
          </cell>
          <cell r="N59">
            <v>225</v>
          </cell>
        </row>
        <row r="60">
          <cell r="C60" t="str">
            <v>Volvo  XC60 T6 AWD Geartronic Momentum</v>
          </cell>
          <cell r="D60" t="str">
            <v>Benzin</v>
          </cell>
          <cell r="E60">
            <v>46638.66</v>
          </cell>
          <cell r="F60">
            <v>0.13500000000000001</v>
          </cell>
          <cell r="H60">
            <v>40342.440900000001</v>
          </cell>
          <cell r="N60">
            <v>228</v>
          </cell>
        </row>
        <row r="61">
          <cell r="C61" t="str">
            <v>Volvo  XC60 T6 AWD Geartronic R Design</v>
          </cell>
          <cell r="D61" t="str">
            <v>Benzin</v>
          </cell>
          <cell r="E61">
            <v>49285.71</v>
          </cell>
          <cell r="F61">
            <v>0.13500000000000001</v>
          </cell>
          <cell r="H61">
            <v>42632.139150000003</v>
          </cell>
          <cell r="N61">
            <v>228</v>
          </cell>
        </row>
        <row r="62">
          <cell r="C62" t="str">
            <v>Volvo S90 T6 AWD Geartronic Momentum</v>
          </cell>
          <cell r="D62" t="str">
            <v>Benzin</v>
          </cell>
          <cell r="E62">
            <v>48781.51</v>
          </cell>
          <cell r="F62">
            <v>0.13500000000000001</v>
          </cell>
          <cell r="H62">
            <v>42196.006150000001</v>
          </cell>
          <cell r="N62">
            <v>228</v>
          </cell>
        </row>
        <row r="63">
          <cell r="C63" t="str">
            <v>Volvo S90 T6 AWD Geartronic R-Design</v>
          </cell>
          <cell r="D63" t="str">
            <v>Benzin</v>
          </cell>
          <cell r="E63">
            <v>50798.32</v>
          </cell>
          <cell r="F63">
            <v>0.13500000000000001</v>
          </cell>
          <cell r="H63">
            <v>43940.546799999996</v>
          </cell>
          <cell r="N63">
            <v>228</v>
          </cell>
        </row>
        <row r="64">
          <cell r="C64" t="str">
            <v>Volvo S90 T6 AWD Geartronic Inscription</v>
          </cell>
          <cell r="D64" t="str">
            <v>Benzin</v>
          </cell>
          <cell r="E64">
            <v>52058.82</v>
          </cell>
          <cell r="F64">
            <v>0.13500000000000001</v>
          </cell>
          <cell r="H64">
            <v>45030.879300000001</v>
          </cell>
          <cell r="N64">
            <v>228</v>
          </cell>
        </row>
        <row r="65">
          <cell r="C65" t="str">
            <v>Volvo V90 T6 AWD Geartronic Momentum</v>
          </cell>
          <cell r="D65" t="str">
            <v>Benzin</v>
          </cell>
          <cell r="E65">
            <v>51344.54</v>
          </cell>
          <cell r="F65">
            <v>0.13500000000000001</v>
          </cell>
          <cell r="H65">
            <v>44413.027099999999</v>
          </cell>
          <cell r="N65">
            <v>228</v>
          </cell>
        </row>
        <row r="66">
          <cell r="C66" t="str">
            <v>Volvo V90 T6 AWD Geartronic R-Design</v>
          </cell>
          <cell r="D66" t="str">
            <v>Benzin</v>
          </cell>
          <cell r="E66">
            <v>53361.34</v>
          </cell>
          <cell r="F66">
            <v>0.13500000000000001</v>
          </cell>
          <cell r="H66">
            <v>46157.559099999999</v>
          </cell>
          <cell r="N66">
            <v>228</v>
          </cell>
        </row>
        <row r="67">
          <cell r="C67" t="str">
            <v>Volvo V90 T6 AWD Geartronic Inscription</v>
          </cell>
          <cell r="D67" t="str">
            <v>Benzin</v>
          </cell>
          <cell r="E67">
            <v>54621.85</v>
          </cell>
          <cell r="F67">
            <v>0.13500000000000001</v>
          </cell>
          <cell r="H67">
            <v>47247.900249999999</v>
          </cell>
          <cell r="N67">
            <v>228</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showGridLines="0" showRowColHeaders="0" tabSelected="1" showRuler="0" showWhiteSpace="0" view="pageLayout" zoomScaleNormal="100" workbookViewId="0">
      <selection activeCell="D7" sqref="D7:H7"/>
    </sheetView>
  </sheetViews>
  <sheetFormatPr baseColWidth="10" defaultColWidth="0" defaultRowHeight="14.25" zeroHeight="1"/>
  <cols>
    <col min="1" max="1" width="2.625" style="93" customWidth="1"/>
    <col min="2" max="2" width="4.875" style="93" customWidth="1"/>
    <col min="3" max="3" width="8" style="93" customWidth="1"/>
    <col min="4" max="6" width="14.375" style="93" customWidth="1"/>
    <col min="7" max="7" width="13.5" style="93" customWidth="1"/>
    <col min="8" max="8" width="12.875" style="93" customWidth="1"/>
    <col min="9" max="9" width="15.25" style="93" customWidth="1"/>
    <col min="10" max="10" width="8.25" style="93" customWidth="1"/>
    <col min="11" max="11" width="16.75" style="93" customWidth="1"/>
    <col min="12" max="12" width="7.5" style="93" customWidth="1"/>
    <col min="13" max="13" width="18.625" style="93" customWidth="1"/>
    <col min="14" max="14" width="2.875" style="93" bestFit="1" customWidth="1"/>
    <col min="15" max="15" width="11" style="94" hidden="1" customWidth="1"/>
    <col min="16" max="16" width="12.25" style="93" hidden="1" customWidth="1"/>
    <col min="17" max="17" width="47.875" style="93" hidden="1" customWidth="1"/>
    <col min="18" max="18" width="20.375" style="93" hidden="1" customWidth="1"/>
    <col min="19" max="16384" width="11" style="93" hidden="1"/>
  </cols>
  <sheetData>
    <row r="1" spans="1:17" ht="23.25">
      <c r="A1" s="207" t="s">
        <v>128</v>
      </c>
      <c r="B1" s="207"/>
      <c r="C1" s="207"/>
      <c r="D1" s="207"/>
      <c r="E1" s="207"/>
      <c r="F1" s="207"/>
      <c r="G1" s="207"/>
      <c r="H1" s="207"/>
      <c r="I1" s="207"/>
      <c r="J1" s="207"/>
      <c r="K1" s="207"/>
      <c r="L1" s="207"/>
      <c r="M1" s="207"/>
      <c r="N1" s="207"/>
    </row>
    <row r="2" spans="1:17"/>
    <row r="3" spans="1:17" s="101" customFormat="1" ht="15">
      <c r="A3" s="95"/>
      <c r="B3" s="96" t="s">
        <v>120</v>
      </c>
      <c r="C3" s="95"/>
      <c r="D3" s="95"/>
      <c r="E3" s="63"/>
      <c r="F3" s="95"/>
      <c r="G3" s="95"/>
      <c r="H3" s="95"/>
      <c r="I3" s="95"/>
      <c r="J3" s="95"/>
      <c r="K3" s="97" t="s">
        <v>45</v>
      </c>
      <c r="L3" s="215" t="s">
        <v>44</v>
      </c>
      <c r="M3" s="216"/>
      <c r="N3" s="95"/>
      <c r="O3" s="95"/>
    </row>
    <row r="4" spans="1:17" s="101" customFormat="1" ht="15">
      <c r="A4" s="99"/>
      <c r="B4" s="100"/>
      <c r="C4" s="99"/>
      <c r="D4" s="99"/>
      <c r="E4" s="100"/>
      <c r="F4" s="99"/>
      <c r="G4" s="99"/>
      <c r="H4" s="99"/>
      <c r="I4" s="99"/>
      <c r="J4" s="99"/>
      <c r="K4" s="174"/>
      <c r="L4" s="175"/>
      <c r="M4" s="175"/>
      <c r="N4" s="95"/>
      <c r="O4" s="95"/>
    </row>
    <row r="5" spans="1:17" s="101" customFormat="1" ht="15">
      <c r="A5" s="99"/>
      <c r="B5" s="100"/>
      <c r="C5" s="99"/>
      <c r="D5" s="99"/>
      <c r="E5" s="100"/>
      <c r="F5" s="99"/>
      <c r="G5" s="99"/>
      <c r="H5" s="99"/>
      <c r="I5" s="99"/>
      <c r="J5" s="99"/>
      <c r="K5" s="97" t="s">
        <v>301</v>
      </c>
      <c r="L5" s="215" t="s">
        <v>44</v>
      </c>
      <c r="M5" s="216"/>
      <c r="N5" s="95"/>
      <c r="O5" s="95"/>
      <c r="Q5" s="101" t="str">
        <f>IFERROR(IF(L5&lt;&gt;"bitte wählen",IF(L5="ja","(Netto)","(Brutto)"),""),"")</f>
        <v/>
      </c>
    </row>
    <row r="6" spans="1:17" s="101" customFormat="1">
      <c r="A6" s="95"/>
      <c r="B6" s="95"/>
      <c r="C6" s="95"/>
      <c r="D6" s="95"/>
      <c r="E6" s="95"/>
      <c r="G6" s="95"/>
      <c r="H6" s="95"/>
      <c r="I6" s="95"/>
      <c r="J6" s="95"/>
      <c r="K6" s="102"/>
      <c r="L6" s="103"/>
      <c r="M6" s="103"/>
      <c r="N6" s="95"/>
      <c r="O6" s="95"/>
    </row>
    <row r="7" spans="1:17" s="101" customFormat="1" ht="15">
      <c r="A7" s="95"/>
      <c r="B7" s="95" t="s">
        <v>68</v>
      </c>
      <c r="C7" s="104"/>
      <c r="D7" s="217"/>
      <c r="E7" s="218"/>
      <c r="F7" s="218"/>
      <c r="G7" s="218"/>
      <c r="H7" s="219"/>
      <c r="I7" s="95"/>
      <c r="J7" s="95"/>
      <c r="K7" s="95"/>
      <c r="L7" s="95"/>
      <c r="M7" s="95"/>
      <c r="N7" s="95"/>
      <c r="O7" s="95"/>
    </row>
    <row r="8" spans="1:17" s="101" customFormat="1" ht="15">
      <c r="A8" s="95"/>
      <c r="B8" s="95" t="s">
        <v>69</v>
      </c>
      <c r="C8" s="105"/>
      <c r="D8" s="220"/>
      <c r="E8" s="221"/>
      <c r="F8" s="221"/>
      <c r="G8" s="221"/>
      <c r="H8" s="222"/>
      <c r="I8" s="95"/>
      <c r="J8" s="95"/>
      <c r="K8" s="95"/>
      <c r="L8" s="95"/>
      <c r="M8" s="95"/>
      <c r="N8" s="95"/>
      <c r="O8" s="95"/>
    </row>
    <row r="9" spans="1:17" s="101" customFormat="1" ht="15">
      <c r="A9" s="95"/>
      <c r="B9" s="95" t="s">
        <v>65</v>
      </c>
      <c r="C9" s="104"/>
      <c r="D9" s="229"/>
      <c r="E9" s="230"/>
      <c r="F9" s="230"/>
      <c r="G9" s="230"/>
      <c r="H9" s="231"/>
      <c r="I9" s="95"/>
      <c r="J9" s="95"/>
      <c r="K9" s="95"/>
      <c r="L9" s="95"/>
      <c r="M9" s="95"/>
      <c r="N9" s="95"/>
      <c r="O9" s="95"/>
    </row>
    <row r="10" spans="1:17" s="101" customFormat="1">
      <c r="A10" s="95"/>
      <c r="B10" s="106"/>
      <c r="C10" s="107"/>
      <c r="D10" s="107"/>
      <c r="E10" s="107"/>
      <c r="F10" s="107"/>
      <c r="G10" s="107"/>
      <c r="H10" s="107"/>
      <c r="I10" s="95"/>
      <c r="J10" s="95"/>
      <c r="K10" s="95"/>
      <c r="L10" s="95"/>
      <c r="M10" s="95"/>
      <c r="N10" s="95"/>
      <c r="O10" s="95"/>
    </row>
    <row r="11" spans="1:17" s="101" customFormat="1">
      <c r="A11" s="95"/>
      <c r="B11" s="107"/>
      <c r="C11" s="107"/>
      <c r="D11" s="107"/>
      <c r="E11" s="107"/>
      <c r="F11" s="107"/>
      <c r="G11" s="107"/>
      <c r="H11" s="107"/>
      <c r="I11" s="95"/>
      <c r="J11" s="95"/>
      <c r="K11" s="95"/>
      <c r="L11" s="95"/>
      <c r="M11" s="95"/>
      <c r="N11" s="95"/>
      <c r="O11" s="95"/>
    </row>
    <row r="12" spans="1:17" s="101" customFormat="1" ht="39.75" customHeight="1">
      <c r="A12" s="95"/>
      <c r="B12" s="232" t="s">
        <v>333</v>
      </c>
      <c r="C12" s="232"/>
      <c r="D12" s="232"/>
      <c r="E12" s="232"/>
      <c r="F12" s="232"/>
      <c r="G12" s="232"/>
      <c r="H12" s="232"/>
      <c r="I12" s="232"/>
      <c r="J12" s="232"/>
      <c r="K12" s="232"/>
      <c r="L12" s="232"/>
      <c r="M12" s="232"/>
      <c r="N12" s="95"/>
      <c r="O12" s="95"/>
    </row>
    <row r="13" spans="1:17" s="101" customFormat="1" ht="39.75" customHeight="1">
      <c r="A13" s="95"/>
      <c r="B13" s="232"/>
      <c r="C13" s="232"/>
      <c r="D13" s="232"/>
      <c r="E13" s="232"/>
      <c r="F13" s="232"/>
      <c r="G13" s="232"/>
      <c r="H13" s="232"/>
      <c r="I13" s="232"/>
      <c r="J13" s="232"/>
      <c r="K13" s="232"/>
      <c r="L13" s="232"/>
      <c r="M13" s="232"/>
      <c r="N13" s="95"/>
      <c r="O13" s="95"/>
    </row>
    <row r="14" spans="1:17" s="101" customFormat="1" ht="39.75" customHeight="1">
      <c r="A14" s="95"/>
      <c r="B14" s="232"/>
      <c r="C14" s="232"/>
      <c r="D14" s="232"/>
      <c r="E14" s="232"/>
      <c r="F14" s="232"/>
      <c r="G14" s="232"/>
      <c r="H14" s="232"/>
      <c r="I14" s="232"/>
      <c r="J14" s="232"/>
      <c r="K14" s="232"/>
      <c r="L14" s="232"/>
      <c r="M14" s="232"/>
      <c r="N14" s="95"/>
      <c r="O14" s="95"/>
    </row>
    <row r="15" spans="1:17" s="101" customFormat="1" ht="39.75" customHeight="1">
      <c r="A15" s="95"/>
      <c r="B15" s="232"/>
      <c r="C15" s="232"/>
      <c r="D15" s="232"/>
      <c r="E15" s="232"/>
      <c r="F15" s="232"/>
      <c r="G15" s="232"/>
      <c r="H15" s="232"/>
      <c r="I15" s="232"/>
      <c r="J15" s="232"/>
      <c r="K15" s="232"/>
      <c r="L15" s="232"/>
      <c r="M15" s="232"/>
      <c r="N15" s="95"/>
      <c r="O15" s="95"/>
    </row>
    <row r="16" spans="1:17" s="95" customFormat="1">
      <c r="B16" s="108"/>
      <c r="C16" s="108"/>
      <c r="D16" s="108"/>
      <c r="E16" s="108"/>
      <c r="F16" s="108"/>
      <c r="G16" s="108"/>
      <c r="H16" s="108"/>
    </row>
    <row r="17" spans="2:17" s="95" customFormat="1" ht="15">
      <c r="B17" s="109" t="s">
        <v>157</v>
      </c>
      <c r="J17" s="146"/>
    </row>
    <row r="18" spans="2:17" s="95" customFormat="1" ht="15.75" thickBot="1">
      <c r="B18" s="110"/>
    </row>
    <row r="19" spans="2:17" s="95" customFormat="1" ht="61.5" customHeight="1" thickBot="1">
      <c r="B19" s="147" t="s">
        <v>63</v>
      </c>
      <c r="C19" s="199" t="s">
        <v>41</v>
      </c>
      <c r="D19" s="200" t="s">
        <v>275</v>
      </c>
      <c r="E19" s="210" t="s">
        <v>156</v>
      </c>
      <c r="F19" s="233"/>
      <c r="G19" s="211"/>
      <c r="H19" s="147" t="s">
        <v>70</v>
      </c>
      <c r="I19" s="199" t="str">
        <f>"Investitions-
mehrkosten-
pauschale "&amp;Q5</f>
        <v xml:space="preserve">Investitions-
mehrkosten-
pauschale </v>
      </c>
      <c r="J19" s="147" t="s">
        <v>110</v>
      </c>
      <c r="K19" s="147" t="s">
        <v>314</v>
      </c>
      <c r="L19" s="176"/>
      <c r="M19" s="177" t="s">
        <v>283</v>
      </c>
      <c r="Q19" s="148" t="s">
        <v>286</v>
      </c>
    </row>
    <row r="20" spans="2:17" s="95" customFormat="1" ht="15">
      <c r="B20" s="149">
        <v>1</v>
      </c>
      <c r="C20" s="67"/>
      <c r="D20" s="68" t="s">
        <v>44</v>
      </c>
      <c r="E20" s="212"/>
      <c r="F20" s="213"/>
      <c r="G20" s="214"/>
      <c r="H20" s="69" t="str">
        <f>+IFERROR(VLOOKUP($E20,Referenzmodelle!$C$7:N85,2,FALSE),"")</f>
        <v/>
      </c>
      <c r="I20" s="178" t="str">
        <f>IFERROR(VLOOKUP($E20,Referenzmodelle!$C$7:O85,L20,FALSE)*C20,"")</f>
        <v/>
      </c>
      <c r="J20" s="151" t="str">
        <f>IF(AND(I20&lt;&gt;"",I20&gt;0),IFERROR(VLOOKUP($L$3,DropDownMenüs!$F$10:$G$14,2,FALSE),""),"")</f>
        <v/>
      </c>
      <c r="K20" s="150" t="str">
        <f>+IFERROR(IF((J20*I20)/C20&gt;Referenzmodelle!$I$4,Referenzmodelle!$I$4*C20,J20*I20),"")</f>
        <v/>
      </c>
      <c r="L20" s="179" t="str">
        <f>IF(AND($L$5="ja",$D20="ja"),8,IF(AND($L$5="ja",$D20&lt;&gt;"ja"),7,IF(AND($L$5="nein",$D20="ja"),11,IF(AND($L$5="nein",$D20&lt;&gt;"ja"),10,""))))</f>
        <v/>
      </c>
      <c r="M20" s="180" t="str">
        <f>IF(E20&lt;&gt;"",IF(VLOOKUP(E20,Referenzmodelle!$C$9:$N$85,3,FALSE)&lt;60000,IFERROR(IF(D20="ja",VLOOKUP(E20,Referenzmodelle!$C$9:$N$85,12,FALSE)*C20,""),""),""),"")</f>
        <v/>
      </c>
      <c r="Q20" s="181">
        <f>+E20</f>
        <v>0</v>
      </c>
    </row>
    <row r="21" spans="2:17" s="95" customFormat="1" ht="15">
      <c r="B21" s="149">
        <v>2</v>
      </c>
      <c r="C21" s="67"/>
      <c r="D21" s="68" t="s">
        <v>44</v>
      </c>
      <c r="E21" s="212"/>
      <c r="F21" s="213"/>
      <c r="G21" s="214"/>
      <c r="H21" s="69" t="str">
        <f>+IFERROR(VLOOKUP($E21,Referenzmodelle!$C$7:N86,2,FALSE),"")</f>
        <v/>
      </c>
      <c r="I21" s="178" t="str">
        <f>IFERROR(VLOOKUP($E21,Referenzmodelle!$C$7:O86,L21,FALSE)*C21,"")</f>
        <v/>
      </c>
      <c r="J21" s="151" t="str">
        <f>IF(AND(I21&lt;&gt;"",I21&gt;0),IFERROR(VLOOKUP($L$3,DropDownMenüs!$F$10:$G$14,2,FALSE),""),"")</f>
        <v/>
      </c>
      <c r="K21" s="150" t="str">
        <f>+IFERROR(IF((J21*I21)/C21&gt;Referenzmodelle!$I$4,Referenzmodelle!$I$4*C21,J21*I21),"")</f>
        <v/>
      </c>
      <c r="L21" s="179" t="str">
        <f t="shared" ref="L21:L30" si="0">IF(AND($L$5="ja",$D21="ja"),8,IF(AND($L$5="ja",$D21&lt;&gt;"ja"),7,IF(AND($L$5="nein",$D21="ja"),11,IF(AND($L$5="nein",$D21&lt;&gt;"ja"),10,""))))</f>
        <v/>
      </c>
      <c r="M21" s="180" t="str">
        <f>IF(E21&lt;&gt;"",IF(VLOOKUP(E21,Referenzmodelle!$C$9:$N$85,3,FALSE)&lt;60000,IFERROR(IF(D21="ja",VLOOKUP(E21,Referenzmodelle!$C$9:$N$85,12,FALSE)*C21,""),""),""),"")</f>
        <v/>
      </c>
      <c r="Q21" s="182">
        <f t="shared" ref="Q21:Q30" si="1">+E21</f>
        <v>0</v>
      </c>
    </row>
    <row r="22" spans="2:17" s="95" customFormat="1" ht="15">
      <c r="B22" s="149">
        <v>3</v>
      </c>
      <c r="C22" s="67"/>
      <c r="D22" s="68" t="s">
        <v>44</v>
      </c>
      <c r="E22" s="212"/>
      <c r="F22" s="213"/>
      <c r="G22" s="214"/>
      <c r="H22" s="69" t="str">
        <f>+IFERROR(VLOOKUP($E22,Referenzmodelle!$C$7:N87,2,FALSE),"")</f>
        <v/>
      </c>
      <c r="I22" s="178" t="str">
        <f>IFERROR(VLOOKUP($E22,Referenzmodelle!$C$7:O87,L22,FALSE)*C22,"")</f>
        <v/>
      </c>
      <c r="J22" s="151" t="str">
        <f>IF(AND(I22&lt;&gt;"",I22&gt;0),IFERROR(VLOOKUP($L$3,DropDownMenüs!$F$10:$G$14,2,FALSE),""),"")</f>
        <v/>
      </c>
      <c r="K22" s="150" t="str">
        <f>+IFERROR(IF((J22*I22)/C22&gt;Referenzmodelle!$I$4,Referenzmodelle!$I$4*C22,J22*I22),"")</f>
        <v/>
      </c>
      <c r="L22" s="179" t="str">
        <f t="shared" si="0"/>
        <v/>
      </c>
      <c r="M22" s="180" t="str">
        <f>IF(E22&lt;&gt;"",IF(VLOOKUP(E22,Referenzmodelle!$C$9:$N$85,3,FALSE)&lt;60000,IFERROR(IF(D22="ja",VLOOKUP(E22,Referenzmodelle!$C$9:$N$85,12,FALSE)*C22,""),""),""),"")</f>
        <v/>
      </c>
      <c r="Q22" s="182">
        <f t="shared" si="1"/>
        <v>0</v>
      </c>
    </row>
    <row r="23" spans="2:17" s="95" customFormat="1" ht="15">
      <c r="B23" s="149">
        <v>4</v>
      </c>
      <c r="C23" s="67"/>
      <c r="D23" s="68" t="s">
        <v>44</v>
      </c>
      <c r="E23" s="212"/>
      <c r="F23" s="213"/>
      <c r="G23" s="214"/>
      <c r="H23" s="69" t="str">
        <f>+IFERROR(VLOOKUP($E23,Referenzmodelle!$C$7:N88,2,FALSE),"")</f>
        <v/>
      </c>
      <c r="I23" s="178" t="str">
        <f>IFERROR(VLOOKUP($E23,Referenzmodelle!$C$7:O88,L23,FALSE)*C23,"")</f>
        <v/>
      </c>
      <c r="J23" s="151" t="str">
        <f>IF(AND(I23&lt;&gt;"",I23&gt;0),IFERROR(VLOOKUP($L$3,DropDownMenüs!$F$10:$G$14,2,FALSE),""),"")</f>
        <v/>
      </c>
      <c r="K23" s="150" t="str">
        <f>+IFERROR(IF((J23*I23)/C23&gt;Referenzmodelle!$I$4,Referenzmodelle!$I$4*C23,J23*I23),"")</f>
        <v/>
      </c>
      <c r="L23" s="179" t="str">
        <f t="shared" si="0"/>
        <v/>
      </c>
      <c r="M23" s="180" t="str">
        <f>IF(E23&lt;&gt;"",IF(VLOOKUP(E23,Referenzmodelle!$C$9:$N$85,3,FALSE)&lt;60000,IFERROR(IF(D23="ja",VLOOKUP(E23,Referenzmodelle!$C$9:$N$85,12,FALSE)*C23,""),""),""),"")</f>
        <v/>
      </c>
      <c r="Q23" s="182">
        <f t="shared" si="1"/>
        <v>0</v>
      </c>
    </row>
    <row r="24" spans="2:17" s="95" customFormat="1" ht="15">
      <c r="B24" s="149">
        <v>5</v>
      </c>
      <c r="C24" s="67"/>
      <c r="D24" s="68" t="s">
        <v>44</v>
      </c>
      <c r="E24" s="212"/>
      <c r="F24" s="213"/>
      <c r="G24" s="214"/>
      <c r="H24" s="69" t="str">
        <f>+IFERROR(VLOOKUP($E24,Referenzmodelle!$C$7:N89,2,FALSE),"")</f>
        <v/>
      </c>
      <c r="I24" s="178" t="str">
        <f>IFERROR(VLOOKUP($E24,Referenzmodelle!$C$7:O89,L24,FALSE)*C24,"")</f>
        <v/>
      </c>
      <c r="J24" s="151" t="str">
        <f>IF(AND(I24&lt;&gt;"",I24&gt;0),IFERROR(VLOOKUP($L$3,DropDownMenüs!$F$10:$G$14,2,FALSE),""),"")</f>
        <v/>
      </c>
      <c r="K24" s="150" t="str">
        <f>+IFERROR(IF((J24*I24)/C24&gt;Referenzmodelle!$I$4,Referenzmodelle!$I$4*C24,J24*I24),"")</f>
        <v/>
      </c>
      <c r="L24" s="179" t="str">
        <f t="shared" si="0"/>
        <v/>
      </c>
      <c r="M24" s="180" t="str">
        <f>IF(E24&lt;&gt;"",IF(VLOOKUP(E24,Referenzmodelle!$C$9:$N$85,3,FALSE)&lt;60000,IFERROR(IF(D24="ja",VLOOKUP(E24,Referenzmodelle!$C$9:$N$85,12,FALSE)*C24,""),""),""),"")</f>
        <v/>
      </c>
      <c r="Q24" s="182">
        <f t="shared" si="1"/>
        <v>0</v>
      </c>
    </row>
    <row r="25" spans="2:17" s="95" customFormat="1" ht="15">
      <c r="B25" s="149">
        <v>6</v>
      </c>
      <c r="C25" s="67"/>
      <c r="D25" s="68" t="s">
        <v>44</v>
      </c>
      <c r="E25" s="212"/>
      <c r="F25" s="213"/>
      <c r="G25" s="214"/>
      <c r="H25" s="69" t="str">
        <f>+IFERROR(VLOOKUP($E25,Referenzmodelle!$C$7:N90,2,FALSE),"")</f>
        <v/>
      </c>
      <c r="I25" s="178" t="str">
        <f>IFERROR(VLOOKUP($E25,Referenzmodelle!$C$7:O90,L25,FALSE)*C25,"")</f>
        <v/>
      </c>
      <c r="J25" s="151" t="str">
        <f>IF(AND(I25&lt;&gt;"",I25&gt;0),IFERROR(VLOOKUP($L$3,DropDownMenüs!$F$10:$G$14,2,FALSE),""),"")</f>
        <v/>
      </c>
      <c r="K25" s="150" t="str">
        <f>+IFERROR(IF((J25*I25)/C25&gt;Referenzmodelle!$I$4,Referenzmodelle!$I$4*C25,J25*I25),"")</f>
        <v/>
      </c>
      <c r="L25" s="179" t="str">
        <f t="shared" si="0"/>
        <v/>
      </c>
      <c r="M25" s="180" t="str">
        <f>IF(E25&lt;&gt;"",IF(VLOOKUP(E25,Referenzmodelle!$C$9:$N$85,3,FALSE)&lt;60000,IFERROR(IF(D25="ja",VLOOKUP(E25,Referenzmodelle!$C$9:$N$85,12,FALSE)*C25,""),""),""),"")</f>
        <v/>
      </c>
      <c r="Q25" s="182">
        <f t="shared" si="1"/>
        <v>0</v>
      </c>
    </row>
    <row r="26" spans="2:17" s="95" customFormat="1" ht="15">
      <c r="B26" s="149">
        <v>7</v>
      </c>
      <c r="C26" s="67"/>
      <c r="D26" s="68" t="s">
        <v>44</v>
      </c>
      <c r="E26" s="212"/>
      <c r="F26" s="213"/>
      <c r="G26" s="214"/>
      <c r="H26" s="69" t="str">
        <f>+IFERROR(VLOOKUP($E26,Referenzmodelle!$C$7:N91,2,FALSE),"")</f>
        <v/>
      </c>
      <c r="I26" s="178" t="str">
        <f>IFERROR(VLOOKUP($E26,Referenzmodelle!$C$7:O91,L26,FALSE)*C26,"")</f>
        <v/>
      </c>
      <c r="J26" s="151" t="str">
        <f>IF(AND(I26&lt;&gt;"",I26&gt;0),IFERROR(VLOOKUP($L$3,DropDownMenüs!$F$10:$G$14,2,FALSE),""),"")</f>
        <v/>
      </c>
      <c r="K26" s="150" t="str">
        <f>+IFERROR(IF((J26*I26)/C26&gt;Referenzmodelle!$I$4,Referenzmodelle!$I$4*C26,J26*I26),"")</f>
        <v/>
      </c>
      <c r="L26" s="179" t="str">
        <f t="shared" si="0"/>
        <v/>
      </c>
      <c r="M26" s="180" t="str">
        <f>IF(E26&lt;&gt;"",IF(VLOOKUP(E26,Referenzmodelle!$C$9:$N$85,3,FALSE)&lt;60000,IFERROR(IF(D26="ja",VLOOKUP(E26,Referenzmodelle!$C$9:$N$85,12,FALSE)*C26,""),""),""),"")</f>
        <v/>
      </c>
      <c r="Q26" s="182">
        <f t="shared" si="1"/>
        <v>0</v>
      </c>
    </row>
    <row r="27" spans="2:17" s="95" customFormat="1" ht="15">
      <c r="B27" s="149">
        <v>8</v>
      </c>
      <c r="C27" s="67"/>
      <c r="D27" s="68" t="s">
        <v>44</v>
      </c>
      <c r="E27" s="212"/>
      <c r="F27" s="213"/>
      <c r="G27" s="214"/>
      <c r="H27" s="69" t="str">
        <f>+IFERROR(VLOOKUP($E27,Referenzmodelle!$C$7:N92,2,FALSE),"")</f>
        <v/>
      </c>
      <c r="I27" s="178" t="str">
        <f>IFERROR(VLOOKUP($E27,Referenzmodelle!$C$7:O92,L27,FALSE)*C27,"")</f>
        <v/>
      </c>
      <c r="J27" s="151" t="str">
        <f>IF(AND(I27&lt;&gt;"",I27&gt;0),IFERROR(VLOOKUP($L$3,DropDownMenüs!$F$10:$G$14,2,FALSE),""),"")</f>
        <v/>
      </c>
      <c r="K27" s="150" t="str">
        <f>+IFERROR(IF((J27*I27)/C27&gt;Referenzmodelle!$I$4,Referenzmodelle!$I$4*C27,J27*I27),"")</f>
        <v/>
      </c>
      <c r="L27" s="179" t="str">
        <f t="shared" si="0"/>
        <v/>
      </c>
      <c r="M27" s="180" t="str">
        <f>IF(E27&lt;&gt;"",IF(VLOOKUP(E27,Referenzmodelle!$C$9:$N$85,3,FALSE)&lt;60000,IFERROR(IF(D27="ja",VLOOKUP(E27,Referenzmodelle!$C$9:$N$85,12,FALSE)*C27,""),""),""),"")</f>
        <v/>
      </c>
      <c r="Q27" s="182">
        <f t="shared" si="1"/>
        <v>0</v>
      </c>
    </row>
    <row r="28" spans="2:17" s="95" customFormat="1" ht="15">
      <c r="B28" s="149">
        <v>9</v>
      </c>
      <c r="C28" s="67"/>
      <c r="D28" s="68" t="s">
        <v>44</v>
      </c>
      <c r="E28" s="212"/>
      <c r="F28" s="213"/>
      <c r="G28" s="214"/>
      <c r="H28" s="69" t="str">
        <f>+IFERROR(VLOOKUP($E28,Referenzmodelle!$C$7:N93,2,FALSE),"")</f>
        <v/>
      </c>
      <c r="I28" s="178" t="str">
        <f>IFERROR(VLOOKUP($E28,Referenzmodelle!$C$7:O93,L28,FALSE)*C28,"")</f>
        <v/>
      </c>
      <c r="J28" s="151" t="str">
        <f>IF(AND(I28&lt;&gt;"",I28&gt;0),IFERROR(VLOOKUP($L$3,DropDownMenüs!$F$10:$G$14,2,FALSE),""),"")</f>
        <v/>
      </c>
      <c r="K28" s="150" t="str">
        <f>+IFERROR(IF((J28*I28)/C28&gt;Referenzmodelle!$I$4,Referenzmodelle!$I$4*C28,J28*I28),"")</f>
        <v/>
      </c>
      <c r="L28" s="179" t="str">
        <f t="shared" si="0"/>
        <v/>
      </c>
      <c r="M28" s="180" t="str">
        <f>IF(E28&lt;&gt;"",IF(VLOOKUP(E28,Referenzmodelle!$C$9:$N$85,3,FALSE)&lt;60000,IFERROR(IF(D28="ja",VLOOKUP(E28,Referenzmodelle!$C$9:$N$85,12,FALSE)*C28,""),""),""),"")</f>
        <v/>
      </c>
      <c r="Q28" s="182">
        <f t="shared" si="1"/>
        <v>0</v>
      </c>
    </row>
    <row r="29" spans="2:17" s="95" customFormat="1" ht="15">
      <c r="B29" s="149">
        <v>10</v>
      </c>
      <c r="C29" s="67"/>
      <c r="D29" s="68" t="s">
        <v>44</v>
      </c>
      <c r="E29" s="212"/>
      <c r="F29" s="213"/>
      <c r="G29" s="214"/>
      <c r="H29" s="69" t="str">
        <f>+IFERROR(VLOOKUP($E29,Referenzmodelle!$C$7:N94,2,FALSE),"")</f>
        <v/>
      </c>
      <c r="I29" s="178" t="str">
        <f>IFERROR(VLOOKUP($E29,Referenzmodelle!$C$7:O94,L29,FALSE)*C29,"")</f>
        <v/>
      </c>
      <c r="J29" s="151" t="str">
        <f>IF(AND(I29&lt;&gt;"",I29&gt;0),IFERROR(VLOOKUP($L$3,DropDownMenüs!$F$10:$G$14,2,FALSE),""),"")</f>
        <v/>
      </c>
      <c r="K29" s="150" t="str">
        <f>+IFERROR(IF((J29*I29)/C29&gt;Referenzmodelle!$I$4,Referenzmodelle!$I$4*C29,J29*I29),"")</f>
        <v/>
      </c>
      <c r="L29" s="179" t="str">
        <f t="shared" si="0"/>
        <v/>
      </c>
      <c r="M29" s="180" t="str">
        <f>IF(E29&lt;&gt;"",IF(VLOOKUP(E29,Referenzmodelle!$C$9:$N$85,3,FALSE)&lt;60000,IFERROR(IF(D29="ja",VLOOKUP(E29,Referenzmodelle!$C$9:$N$85,12,FALSE)*C29,""),""),""),"")</f>
        <v/>
      </c>
      <c r="Q29" s="182">
        <f t="shared" si="1"/>
        <v>0</v>
      </c>
    </row>
    <row r="30" spans="2:17" s="95" customFormat="1" ht="15.75" thickBot="1">
      <c r="B30" s="153">
        <v>11</v>
      </c>
      <c r="C30" s="70"/>
      <c r="D30" s="71" t="s">
        <v>44</v>
      </c>
      <c r="E30" s="226"/>
      <c r="F30" s="227"/>
      <c r="G30" s="228"/>
      <c r="H30" s="72" t="str">
        <f>+IFERROR(VLOOKUP($E30,Referenzmodelle!$C$7:N95,2,FALSE),"")</f>
        <v/>
      </c>
      <c r="I30" s="178" t="str">
        <f>IFERROR(VLOOKUP($E30,Referenzmodelle!$C$7:O95,L30,FALSE)*C30,"")</f>
        <v/>
      </c>
      <c r="J30" s="154" t="str">
        <f>IF(AND(I30&lt;&gt;"",I30&gt;0),IFERROR(VLOOKUP($L$3,DropDownMenüs!$F$10:$G$14,2,FALSE),""),"")</f>
        <v/>
      </c>
      <c r="K30" s="150" t="str">
        <f>+IFERROR(IF((J30*I30)/C30&gt;Referenzmodelle!$I$4,Referenzmodelle!$I$4*C30,J30*I30),"")</f>
        <v/>
      </c>
      <c r="L30" s="179" t="str">
        <f t="shared" si="0"/>
        <v/>
      </c>
      <c r="M30" s="180" t="str">
        <f>IF(E30&lt;&gt;"",IF(VLOOKUP(E30,Referenzmodelle!$C$9:$N$85,3,FALSE)&lt;60000,IFERROR(IF(D30="ja",VLOOKUP(E30,Referenzmodelle!$C$9:$N$85,12,FALSE)*C30,""),""),""),"")</f>
        <v/>
      </c>
      <c r="Q30" s="183">
        <f t="shared" si="1"/>
        <v>0</v>
      </c>
    </row>
    <row r="31" spans="2:17" s="95" customFormat="1" ht="18.75" thickBot="1">
      <c r="B31" s="129" t="s">
        <v>106</v>
      </c>
      <c r="C31" s="130">
        <f>+SUM(C20:C30)</f>
        <v>0</v>
      </c>
      <c r="D31" s="132"/>
      <c r="E31" s="132"/>
      <c r="F31" s="132"/>
      <c r="G31" s="132"/>
      <c r="H31" s="132"/>
      <c r="I31" s="134">
        <f>IFERROR(+SUM(I20:I30),"")</f>
        <v>0</v>
      </c>
      <c r="J31" s="135" t="s">
        <v>119</v>
      </c>
      <c r="K31" s="134">
        <f>+SUM(K20:K30)</f>
        <v>0</v>
      </c>
      <c r="L31" s="184"/>
      <c r="M31" s="137">
        <f>+SUM(M20:M30)</f>
        <v>0</v>
      </c>
      <c r="N31" s="135"/>
    </row>
    <row r="32" spans="2:17" s="95" customFormat="1" ht="15.75" thickTop="1">
      <c r="K32" s="104"/>
    </row>
    <row r="33" spans="2:17" s="95" customFormat="1" ht="15">
      <c r="B33" s="109" t="s">
        <v>158</v>
      </c>
      <c r="C33" s="101"/>
      <c r="D33" s="101"/>
      <c r="E33" s="101"/>
    </row>
    <row r="34" spans="2:17" s="95" customFormat="1" ht="15" thickBot="1"/>
    <row r="35" spans="2:17" s="95" customFormat="1" ht="61.5" customHeight="1">
      <c r="B35" s="147" t="s">
        <v>63</v>
      </c>
      <c r="C35" s="147" t="s">
        <v>41</v>
      </c>
      <c r="D35" s="210" t="s">
        <v>70</v>
      </c>
      <c r="E35" s="211"/>
      <c r="F35" s="185" t="s">
        <v>109</v>
      </c>
      <c r="G35" s="147" t="s">
        <v>159</v>
      </c>
      <c r="H35" s="199" t="s">
        <v>138</v>
      </c>
      <c r="I35" s="199" t="s">
        <v>160</v>
      </c>
      <c r="J35" s="199" t="s">
        <v>280</v>
      </c>
      <c r="K35" s="199" t="str">
        <f>"Investitions-
mehrkosten-
pauschale "&amp;Q5</f>
        <v xml:space="preserve">Investitions-
mehrkosten-
pauschale </v>
      </c>
      <c r="L35" s="147" t="s">
        <v>110</v>
      </c>
      <c r="M35" s="147" t="s">
        <v>313</v>
      </c>
      <c r="P35" s="186" t="s">
        <v>118</v>
      </c>
    </row>
    <row r="36" spans="2:17" s="95" customFormat="1">
      <c r="B36" s="149">
        <v>1</v>
      </c>
      <c r="C36" s="73"/>
      <c r="D36" s="208"/>
      <c r="E36" s="209"/>
      <c r="F36" s="149" t="str">
        <f>+IFERROR(VLOOKUP($D36,Ladeinfrastruktur!$B$8:$O$15,2,FALSE),"")</f>
        <v/>
      </c>
      <c r="G36" s="149" t="str">
        <f>+IFERROR(VLOOKUP($D36,Ladeinfrastruktur!$B$8:$O$15,3,FALSE),"")</f>
        <v/>
      </c>
      <c r="H36" s="149" t="str">
        <f>+IFERROR(VLOOKUP($D36,Ladeinfrastruktur!$B$8:$O$15,7,FALSE),"")</f>
        <v/>
      </c>
      <c r="I36" s="149" t="str">
        <f>+IFERROR(VLOOKUP($D36,Ladeinfrastruktur!$B$8:$O$15,5,FALSE),"")</f>
        <v/>
      </c>
      <c r="J36" s="149" t="str">
        <f>+IFERROR(VLOOKUP($D36,Ladeinfrastruktur!$B$8:$O$15,6,FALSE),"")</f>
        <v/>
      </c>
      <c r="K36" s="187" t="str">
        <f>+IFERROR(IF($L$5&lt;&gt;"bitte wählen",IF($L$5&lt;&gt;"nein",VLOOKUP($D36,Ladeinfrastruktur!$B$8:$O$15,11,FALSE)*C36,VLOOKUP($D36,Ladeinfrastruktur!$B$8:$O$15,11,FALSE)*C36*1.19),""),"")</f>
        <v/>
      </c>
      <c r="L36" s="151" t="str">
        <f>IF(K36&lt;&gt;"",IFERROR(VLOOKUP($L$3,DropDownMenüs!$F$10:$G$14,2,FALSE),""),"")</f>
        <v/>
      </c>
      <c r="M36" s="150" t="str">
        <f>IFERROR(ROUND(L36*K36,0),"")</f>
        <v/>
      </c>
      <c r="P36" s="150" t="str">
        <f>+IFERROR(VLOOKUP(D36,Ladeinfrastruktur!$B$8:$O$13,13,FALSE)*C36,"")</f>
        <v/>
      </c>
    </row>
    <row r="37" spans="2:17" s="95" customFormat="1">
      <c r="B37" s="149">
        <v>2</v>
      </c>
      <c r="C37" s="73"/>
      <c r="D37" s="208"/>
      <c r="E37" s="209"/>
      <c r="F37" s="149" t="str">
        <f>+IFERROR(VLOOKUP($D37,Ladeinfrastruktur!$B$8:$O$15,2,FALSE),"")</f>
        <v/>
      </c>
      <c r="G37" s="149" t="str">
        <f>+IFERROR(VLOOKUP($D37,Ladeinfrastruktur!$B$8:$O$15,3,FALSE),"")</f>
        <v/>
      </c>
      <c r="H37" s="149" t="str">
        <f>+IFERROR(VLOOKUP($D37,Ladeinfrastruktur!$B$8:$O$15,7,FALSE),"")</f>
        <v/>
      </c>
      <c r="I37" s="149" t="str">
        <f>+IFERROR(VLOOKUP($D37,Ladeinfrastruktur!$B$8:$O$15,5,FALSE),"")</f>
        <v/>
      </c>
      <c r="J37" s="149" t="str">
        <f>+IFERROR(VLOOKUP($D37,Ladeinfrastruktur!$B$8:$O$15,6,FALSE),"")</f>
        <v/>
      </c>
      <c r="K37" s="187" t="str">
        <f>+IFERROR(IF($L$5&lt;&gt;"bitte wählen",IF($L$5&lt;&gt;"nein",VLOOKUP($D37,Ladeinfrastruktur!$B$8:$O$15,11,FALSE)*C37,VLOOKUP($D37,Ladeinfrastruktur!$B$8:$O$15,11,FALSE)*C37*1.19),""),"")</f>
        <v/>
      </c>
      <c r="L37" s="151" t="str">
        <f>IF(K37&lt;&gt;"",IFERROR(VLOOKUP($L$3,DropDownMenüs!$F$10:$G$14,2,FALSE),""),"")</f>
        <v/>
      </c>
      <c r="M37" s="150" t="str">
        <f t="shared" ref="M37:M46" si="2">IFERROR(ROUND(L37*K37,0),"")</f>
        <v/>
      </c>
      <c r="P37" s="150" t="str">
        <f>+IFERROR(VLOOKUP(D37,Ladeinfrastruktur!$B$8:$O$13,13,FALSE)*C37,"")</f>
        <v/>
      </c>
    </row>
    <row r="38" spans="2:17" s="95" customFormat="1">
      <c r="B38" s="149">
        <v>3</v>
      </c>
      <c r="C38" s="73"/>
      <c r="D38" s="208"/>
      <c r="E38" s="209"/>
      <c r="F38" s="149" t="str">
        <f>+IFERROR(VLOOKUP($D38,Ladeinfrastruktur!$B$8:$O$15,2,FALSE),"")</f>
        <v/>
      </c>
      <c r="G38" s="149" t="str">
        <f>+IFERROR(VLOOKUP($D38,Ladeinfrastruktur!$B$8:$O$15,3,FALSE),"")</f>
        <v/>
      </c>
      <c r="H38" s="149" t="str">
        <f>+IFERROR(VLOOKUP($D38,Ladeinfrastruktur!$B$8:$O$15,7,FALSE),"")</f>
        <v/>
      </c>
      <c r="I38" s="149" t="str">
        <f>+IFERROR(VLOOKUP($D38,Ladeinfrastruktur!$B$8:$O$15,5,FALSE),"")</f>
        <v/>
      </c>
      <c r="J38" s="149" t="str">
        <f>+IFERROR(VLOOKUP($D38,Ladeinfrastruktur!$B$8:$O$15,6,FALSE),"")</f>
        <v/>
      </c>
      <c r="K38" s="187" t="str">
        <f>+IFERROR(IF($L$5&lt;&gt;"bitte wählen",IF($L$5&lt;&gt;"nein",VLOOKUP($D38,Ladeinfrastruktur!$B$8:$O$15,11,FALSE)*C38,VLOOKUP($D38,Ladeinfrastruktur!$B$8:$O$15,11,FALSE)*C38*1.19),""),"")</f>
        <v/>
      </c>
      <c r="L38" s="151" t="str">
        <f>IF(K38&lt;&gt;"",IFERROR(VLOOKUP($L$3,DropDownMenüs!$F$10:$G$14,2,FALSE),""),"")</f>
        <v/>
      </c>
      <c r="M38" s="150" t="str">
        <f t="shared" si="2"/>
        <v/>
      </c>
      <c r="P38" s="150" t="str">
        <f>+IFERROR(VLOOKUP(D38,Ladeinfrastruktur!$B$8:$O$13,13,FALSE)*C38,"")</f>
        <v/>
      </c>
    </row>
    <row r="39" spans="2:17" s="95" customFormat="1">
      <c r="B39" s="149">
        <v>4</v>
      </c>
      <c r="C39" s="73"/>
      <c r="D39" s="208"/>
      <c r="E39" s="209"/>
      <c r="F39" s="149" t="str">
        <f>+IFERROR(VLOOKUP($D39,Ladeinfrastruktur!$B$8:$O$15,2,FALSE),"")</f>
        <v/>
      </c>
      <c r="G39" s="149" t="str">
        <f>+IFERROR(VLOOKUP($D39,Ladeinfrastruktur!$B$8:$O$15,3,FALSE),"")</f>
        <v/>
      </c>
      <c r="H39" s="149" t="str">
        <f>+IFERROR(VLOOKUP($D39,Ladeinfrastruktur!$B$8:$O$15,7,FALSE),"")</f>
        <v/>
      </c>
      <c r="I39" s="149" t="str">
        <f>+IFERROR(VLOOKUP($D39,Ladeinfrastruktur!$B$8:$O$15,5,FALSE),"")</f>
        <v/>
      </c>
      <c r="J39" s="149" t="str">
        <f>+IFERROR(VLOOKUP($D39,Ladeinfrastruktur!$B$8:$O$15,6,FALSE),"")</f>
        <v/>
      </c>
      <c r="K39" s="187" t="str">
        <f>+IFERROR(IF($L$5&lt;&gt;"bitte wählen",IF($L$5&lt;&gt;"nein",VLOOKUP($D39,Ladeinfrastruktur!$B$8:$O$15,11,FALSE)*C39,VLOOKUP($D39,Ladeinfrastruktur!$B$8:$O$15,11,FALSE)*C39*1.19),""),"")</f>
        <v/>
      </c>
      <c r="L39" s="151" t="str">
        <f>IF(K39&lt;&gt;"",IFERROR(VLOOKUP($L$3,DropDownMenüs!$F$10:$G$14,2,FALSE),""),"")</f>
        <v/>
      </c>
      <c r="M39" s="150" t="str">
        <f t="shared" si="2"/>
        <v/>
      </c>
      <c r="P39" s="150" t="str">
        <f>+IFERROR(VLOOKUP(D39,Ladeinfrastruktur!$B$8:$O$13,13,FALSE)*C39,"")</f>
        <v/>
      </c>
    </row>
    <row r="40" spans="2:17" s="95" customFormat="1">
      <c r="B40" s="149">
        <v>5</v>
      </c>
      <c r="C40" s="73"/>
      <c r="D40" s="208"/>
      <c r="E40" s="209"/>
      <c r="F40" s="149" t="str">
        <f>+IFERROR(VLOOKUP($D40,Ladeinfrastruktur!$B$8:$O$15,2,FALSE),"")</f>
        <v/>
      </c>
      <c r="G40" s="149" t="str">
        <f>+IFERROR(VLOOKUP($D40,Ladeinfrastruktur!$B$8:$O$15,3,FALSE),"")</f>
        <v/>
      </c>
      <c r="H40" s="149" t="str">
        <f>+IFERROR(VLOOKUP($D40,Ladeinfrastruktur!$B$8:$O$15,7,FALSE),"")</f>
        <v/>
      </c>
      <c r="I40" s="149" t="str">
        <f>+IFERROR(VLOOKUP($D40,Ladeinfrastruktur!$B$8:$O$15,5,FALSE),"")</f>
        <v/>
      </c>
      <c r="J40" s="149" t="str">
        <f>+IFERROR(VLOOKUP($D40,Ladeinfrastruktur!$B$8:$O$15,6,FALSE),"")</f>
        <v/>
      </c>
      <c r="K40" s="187" t="str">
        <f>+IFERROR(IF($L$5&lt;&gt;"bitte wählen",IF($L$5&lt;&gt;"nein",VLOOKUP($D40,Ladeinfrastruktur!$B$8:$O$15,11,FALSE)*C40,VLOOKUP($D40,Ladeinfrastruktur!$B$8:$O$15,11,FALSE)*C40*1.19),""),"")</f>
        <v/>
      </c>
      <c r="L40" s="151" t="str">
        <f>IF(K40&lt;&gt;"",IFERROR(VLOOKUP($L$3,DropDownMenüs!$F$10:$G$14,2,FALSE),""),"")</f>
        <v/>
      </c>
      <c r="M40" s="150" t="str">
        <f t="shared" si="2"/>
        <v/>
      </c>
      <c r="P40" s="150" t="str">
        <f>+IFERROR(VLOOKUP(D40,Ladeinfrastruktur!$B$8:$O$13,13,FALSE)*C40,"")</f>
        <v/>
      </c>
    </row>
    <row r="41" spans="2:17" s="95" customFormat="1">
      <c r="B41" s="149">
        <v>6</v>
      </c>
      <c r="C41" s="73"/>
      <c r="D41" s="208"/>
      <c r="E41" s="209"/>
      <c r="F41" s="149" t="str">
        <f>+IFERROR(VLOOKUP($D41,Ladeinfrastruktur!$B$8:$O$15,2,FALSE),"")</f>
        <v/>
      </c>
      <c r="G41" s="149" t="str">
        <f>+IFERROR(VLOOKUP($D41,Ladeinfrastruktur!$B$8:$O$15,3,FALSE),"")</f>
        <v/>
      </c>
      <c r="H41" s="149" t="str">
        <f>+IFERROR(VLOOKUP($D41,Ladeinfrastruktur!$B$8:$O$15,7,FALSE),"")</f>
        <v/>
      </c>
      <c r="I41" s="149" t="str">
        <f>+IFERROR(VLOOKUP($D41,Ladeinfrastruktur!$B$8:$O$15,5,FALSE),"")</f>
        <v/>
      </c>
      <c r="J41" s="149" t="str">
        <f>+IFERROR(VLOOKUP($D41,Ladeinfrastruktur!$B$8:$O$15,6,FALSE),"")</f>
        <v/>
      </c>
      <c r="K41" s="187" t="str">
        <f>+IFERROR(IF($L$5&lt;&gt;"bitte wählen",IF($L$5&lt;&gt;"nein",VLOOKUP($D41,Ladeinfrastruktur!$B$8:$O$15,11,FALSE)*C41,VLOOKUP($D41,Ladeinfrastruktur!$B$8:$O$15,11,FALSE)*C41*1.19),""),"")</f>
        <v/>
      </c>
      <c r="L41" s="151" t="str">
        <f>IF(K41&lt;&gt;"",IFERROR(VLOOKUP($L$3,DropDownMenüs!$F$10:$G$14,2,FALSE),""),"")</f>
        <v/>
      </c>
      <c r="M41" s="150" t="str">
        <f t="shared" si="2"/>
        <v/>
      </c>
      <c r="P41" s="150" t="str">
        <f>+IFERROR(VLOOKUP(D41,Ladeinfrastruktur!$B$8:$O$13,13,FALSE)*C41,"")</f>
        <v/>
      </c>
    </row>
    <row r="42" spans="2:17" s="95" customFormat="1">
      <c r="B42" s="149">
        <v>7</v>
      </c>
      <c r="C42" s="73"/>
      <c r="D42" s="208"/>
      <c r="E42" s="209"/>
      <c r="F42" s="149" t="str">
        <f>+IFERROR(VLOOKUP($D42,Ladeinfrastruktur!$B$8:$O$15,2,FALSE),"")</f>
        <v/>
      </c>
      <c r="G42" s="149" t="str">
        <f>+IFERROR(VLOOKUP($D42,Ladeinfrastruktur!$B$8:$O$15,3,FALSE),"")</f>
        <v/>
      </c>
      <c r="H42" s="149" t="str">
        <f>+IFERROR(VLOOKUP($D42,Ladeinfrastruktur!$B$8:$O$15,7,FALSE),"")</f>
        <v/>
      </c>
      <c r="I42" s="149" t="str">
        <f>+IFERROR(VLOOKUP($D42,Ladeinfrastruktur!$B$8:$O$15,5,FALSE),"")</f>
        <v/>
      </c>
      <c r="J42" s="149" t="str">
        <f>+IFERROR(VLOOKUP($D42,Ladeinfrastruktur!$B$8:$O$15,6,FALSE),"")</f>
        <v/>
      </c>
      <c r="K42" s="187" t="str">
        <f>+IFERROR(IF($L$5&lt;&gt;"bitte wählen",IF($L$5&lt;&gt;"nein",VLOOKUP($D42,Ladeinfrastruktur!$B$8:$O$15,11,FALSE)*C42,VLOOKUP($D42,Ladeinfrastruktur!$B$8:$O$15,11,FALSE)*C42*1.19),""),"")</f>
        <v/>
      </c>
      <c r="L42" s="151" t="str">
        <f>IF(K42&lt;&gt;"",IFERROR(VLOOKUP($L$3,DropDownMenüs!$F$10:$G$14,2,FALSE),""),"")</f>
        <v/>
      </c>
      <c r="M42" s="150" t="str">
        <f t="shared" si="2"/>
        <v/>
      </c>
      <c r="P42" s="150" t="str">
        <f>+IFERROR(VLOOKUP(D42,Ladeinfrastruktur!$B$8:$O$13,13,FALSE)*C42,"")</f>
        <v/>
      </c>
    </row>
    <row r="43" spans="2:17" s="95" customFormat="1">
      <c r="B43" s="149">
        <v>8</v>
      </c>
      <c r="C43" s="73"/>
      <c r="D43" s="208"/>
      <c r="E43" s="209"/>
      <c r="F43" s="149" t="str">
        <f>+IFERROR(VLOOKUP($D43,Ladeinfrastruktur!$B$8:$O$15,2,FALSE),"")</f>
        <v/>
      </c>
      <c r="G43" s="149" t="str">
        <f>+IFERROR(VLOOKUP($D43,Ladeinfrastruktur!$B$8:$O$15,3,FALSE),"")</f>
        <v/>
      </c>
      <c r="H43" s="149" t="str">
        <f>+IFERROR(VLOOKUP($D43,Ladeinfrastruktur!$B$8:$O$15,7,FALSE),"")</f>
        <v/>
      </c>
      <c r="I43" s="149" t="str">
        <f>+IFERROR(VLOOKUP($D43,Ladeinfrastruktur!$B$8:$O$15,5,FALSE),"")</f>
        <v/>
      </c>
      <c r="J43" s="149" t="str">
        <f>+IFERROR(VLOOKUP($D43,Ladeinfrastruktur!$B$8:$O$15,6,FALSE),"")</f>
        <v/>
      </c>
      <c r="K43" s="187" t="str">
        <f>+IFERROR(IF($L$5&lt;&gt;"bitte wählen",IF($L$5&lt;&gt;"nein",VLOOKUP($D43,Ladeinfrastruktur!$B$8:$O$15,11,FALSE)*C43,VLOOKUP($D43,Ladeinfrastruktur!$B$8:$O$15,11,FALSE)*C43*1.19),""),"")</f>
        <v/>
      </c>
      <c r="L43" s="151" t="str">
        <f>IF(K43&lt;&gt;"",IFERROR(VLOOKUP($L$3,DropDownMenüs!$F$10:$G$14,2,FALSE),""),"")</f>
        <v/>
      </c>
      <c r="M43" s="150" t="str">
        <f t="shared" si="2"/>
        <v/>
      </c>
      <c r="P43" s="150" t="str">
        <f>+IFERROR(VLOOKUP(D43,Ladeinfrastruktur!$B$8:$O$13,13,FALSE)*C43,"")</f>
        <v/>
      </c>
    </row>
    <row r="44" spans="2:17" s="95" customFormat="1">
      <c r="B44" s="149">
        <v>9</v>
      </c>
      <c r="C44" s="73"/>
      <c r="D44" s="208"/>
      <c r="E44" s="209"/>
      <c r="F44" s="149" t="str">
        <f>+IFERROR(VLOOKUP($D44,Ladeinfrastruktur!$B$8:$O$15,2,FALSE),"")</f>
        <v/>
      </c>
      <c r="G44" s="149" t="str">
        <f>+IFERROR(VLOOKUP($D44,Ladeinfrastruktur!$B$8:$O$15,3,FALSE),"")</f>
        <v/>
      </c>
      <c r="H44" s="149" t="str">
        <f>+IFERROR(VLOOKUP($D44,Ladeinfrastruktur!$B$8:$O$15,7,FALSE),"")</f>
        <v/>
      </c>
      <c r="I44" s="149" t="str">
        <f>+IFERROR(VLOOKUP($D44,Ladeinfrastruktur!$B$8:$O$15,5,FALSE),"")</f>
        <v/>
      </c>
      <c r="J44" s="149" t="str">
        <f>+IFERROR(VLOOKUP($D44,Ladeinfrastruktur!$B$8:$O$15,6,FALSE),"")</f>
        <v/>
      </c>
      <c r="K44" s="187" t="str">
        <f>+IFERROR(IF($L$5&lt;&gt;"bitte wählen",IF($L$5&lt;&gt;"nein",VLOOKUP($D44,Ladeinfrastruktur!$B$8:$O$15,11,FALSE)*C44,VLOOKUP($D44,Ladeinfrastruktur!$B$8:$O$15,11,FALSE)*C44*1.19),""),"")</f>
        <v/>
      </c>
      <c r="L44" s="151" t="str">
        <f>IF(K44&lt;&gt;"",IFERROR(VLOOKUP($L$3,DropDownMenüs!$F$10:$G$14,2,FALSE),""),"")</f>
        <v/>
      </c>
      <c r="M44" s="150" t="str">
        <f t="shared" si="2"/>
        <v/>
      </c>
      <c r="P44" s="150" t="str">
        <f>+IFERROR(VLOOKUP(D44,Ladeinfrastruktur!$B$8:$O$13,13,FALSE)*C44,"")</f>
        <v/>
      </c>
    </row>
    <row r="45" spans="2:17" s="95" customFormat="1">
      <c r="B45" s="149">
        <v>10</v>
      </c>
      <c r="C45" s="73"/>
      <c r="D45" s="208"/>
      <c r="E45" s="209"/>
      <c r="F45" s="149" t="str">
        <f>+IFERROR(VLOOKUP($D45,Ladeinfrastruktur!$B$8:$O$15,2,FALSE),"")</f>
        <v/>
      </c>
      <c r="G45" s="149" t="str">
        <f>+IFERROR(VLOOKUP($D45,Ladeinfrastruktur!$B$8:$O$15,3,FALSE),"")</f>
        <v/>
      </c>
      <c r="H45" s="149" t="str">
        <f>+IFERROR(VLOOKUP($D45,Ladeinfrastruktur!$B$8:$O$15,7,FALSE),"")</f>
        <v/>
      </c>
      <c r="I45" s="149" t="str">
        <f>+IFERROR(VLOOKUP($D45,Ladeinfrastruktur!$B$8:$O$15,5,FALSE),"")</f>
        <v/>
      </c>
      <c r="J45" s="149" t="str">
        <f>+IFERROR(VLOOKUP($D45,Ladeinfrastruktur!$B$8:$O$15,6,FALSE),"")</f>
        <v/>
      </c>
      <c r="K45" s="187" t="str">
        <f>+IFERROR(IF($L$5&lt;&gt;"bitte wählen",IF($L$5&lt;&gt;"nein",VLOOKUP($D45,Ladeinfrastruktur!$B$8:$O$15,11,FALSE)*C45,VLOOKUP($D45,Ladeinfrastruktur!$B$8:$O$15,11,FALSE)*C45*1.19),""),"")</f>
        <v/>
      </c>
      <c r="L45" s="151" t="str">
        <f>IF(K45&lt;&gt;"",IFERROR(VLOOKUP($L$3,DropDownMenüs!$F$10:$G$14,2,FALSE),""),"")</f>
        <v/>
      </c>
      <c r="M45" s="150" t="str">
        <f t="shared" si="2"/>
        <v/>
      </c>
      <c r="P45" s="150" t="str">
        <f>+IFERROR(VLOOKUP(D45,Ladeinfrastruktur!$B$8:$O$13,13,FALSE)*C45,"")</f>
        <v/>
      </c>
    </row>
    <row r="46" spans="2:17" s="95" customFormat="1" ht="15" thickBot="1">
      <c r="B46" s="153">
        <v>11</v>
      </c>
      <c r="C46" s="74"/>
      <c r="D46" s="224"/>
      <c r="E46" s="225"/>
      <c r="F46" s="153" t="str">
        <f>+IFERROR(VLOOKUP($D46,Ladeinfrastruktur!$B$8:$O$15,2,FALSE),"")</f>
        <v/>
      </c>
      <c r="G46" s="153" t="str">
        <f>+IFERROR(VLOOKUP($D46,Ladeinfrastruktur!$B$8:$O$15,3,FALSE),"")</f>
        <v/>
      </c>
      <c r="H46" s="153" t="str">
        <f>+IFERROR(VLOOKUP($D46,Ladeinfrastruktur!$B$8:$O$15,7,FALSE),"")</f>
        <v/>
      </c>
      <c r="I46" s="153" t="str">
        <f>+IFERROR(VLOOKUP($D46,Ladeinfrastruktur!$B$8:$O$15,5,FALSE),"")</f>
        <v/>
      </c>
      <c r="J46" s="153" t="str">
        <f>+IFERROR(VLOOKUP($D46,Ladeinfrastruktur!$B$8:$O$15,6,FALSE),"")</f>
        <v/>
      </c>
      <c r="K46" s="187" t="str">
        <f>+IFERROR(IF($L$5&lt;&gt;"bitte wählen",IF($L$5&lt;&gt;"nein",VLOOKUP($D46,Ladeinfrastruktur!$B$8:$O$15,11,FALSE)*C46,VLOOKUP($D46,Ladeinfrastruktur!$B$8:$O$15,11,FALSE)*C46*1.19),""),"")</f>
        <v/>
      </c>
      <c r="L46" s="154" t="str">
        <f>IF(K46&lt;&gt;"",IFERROR(VLOOKUP($L$3,DropDownMenüs!$F$10:$G$14,2,FALSE),""),"")</f>
        <v/>
      </c>
      <c r="M46" s="150" t="str">
        <f t="shared" si="2"/>
        <v/>
      </c>
      <c r="P46" s="150" t="str">
        <f>+IFERROR(VLOOKUP(D46,Ladeinfrastruktur!$B$8:$O$13,13,FALSE)*C46,"")</f>
        <v/>
      </c>
    </row>
    <row r="47" spans="2:17" s="95" customFormat="1" ht="18.75" thickBot="1">
      <c r="B47" s="129" t="s">
        <v>106</v>
      </c>
      <c r="C47" s="130">
        <f>+SUM(C36:C46)</f>
        <v>0</v>
      </c>
      <c r="D47" s="132"/>
      <c r="E47" s="132"/>
      <c r="F47" s="132"/>
      <c r="G47" s="132"/>
      <c r="H47" s="132"/>
      <c r="I47" s="132"/>
      <c r="J47" s="132"/>
      <c r="K47" s="134">
        <f>IFERROR(SUM(K36:K46),"")</f>
        <v>0</v>
      </c>
      <c r="L47" s="156" t="s">
        <v>119</v>
      </c>
      <c r="M47" s="134">
        <f>SUM(M36:M46)</f>
        <v>0</v>
      </c>
      <c r="P47" s="134">
        <f>+SUM(P36:P46)</f>
        <v>0</v>
      </c>
      <c r="Q47" s="95" t="s">
        <v>112</v>
      </c>
    </row>
    <row r="48" spans="2:17" s="95" customFormat="1" ht="15.75" thickTop="1">
      <c r="B48" s="103"/>
      <c r="C48" s="103"/>
      <c r="L48" s="157"/>
      <c r="M48" s="158"/>
    </row>
    <row r="49" spans="1:16" s="95" customFormat="1" ht="15">
      <c r="B49" s="109" t="s">
        <v>161</v>
      </c>
      <c r="C49" s="103"/>
      <c r="L49" s="157"/>
      <c r="M49" s="158"/>
    </row>
    <row r="50" spans="1:16" s="95" customFormat="1" ht="15">
      <c r="B50" s="103"/>
      <c r="C50" s="103"/>
      <c r="L50" s="157"/>
      <c r="M50" s="158"/>
    </row>
    <row r="51" spans="1:16" s="95" customFormat="1" ht="18.75" thickBot="1">
      <c r="B51" s="103"/>
      <c r="C51" s="103"/>
      <c r="L51" s="188" t="str">
        <f>"Voraussichtliche Kostenpauschale für die Installation der Ladeinfrastruktur "&amp;Q5&amp;":"</f>
        <v>Voraussichtliche Kostenpauschale für die Installation der Ladeinfrastruktur :</v>
      </c>
      <c r="M51" s="159" t="str">
        <f>IFERROR(IF(L5="ja",+P47,IF(L5="nein",+P47*1.19,"")),"")</f>
        <v/>
      </c>
      <c r="N51" s="135" t="s">
        <v>119</v>
      </c>
    </row>
    <row r="52" spans="1:16" s="95" customFormat="1" ht="19.5" thickTop="1" thickBot="1">
      <c r="C52" s="101"/>
      <c r="L52" s="157" t="s">
        <v>276</v>
      </c>
      <c r="M52" s="159" t="str">
        <f>IFERROR(ROUND(M51*M57,0),"")</f>
        <v/>
      </c>
      <c r="N52" s="135"/>
    </row>
    <row r="53" spans="1:16" s="95" customFormat="1" ht="15.75" thickTop="1">
      <c r="L53" s="157"/>
      <c r="M53" s="158"/>
    </row>
    <row r="54" spans="1:16" s="95" customFormat="1" ht="15">
      <c r="B54" s="104"/>
    </row>
    <row r="55" spans="1:16" s="95" customFormat="1" ht="15">
      <c r="B55" s="104"/>
    </row>
    <row r="56" spans="1:16" s="95" customFormat="1">
      <c r="F56" s="161"/>
      <c r="G56" s="161"/>
      <c r="H56" s="161"/>
      <c r="I56" s="161"/>
      <c r="J56" s="161"/>
      <c r="K56" s="161"/>
      <c r="L56" s="160" t="str">
        <f>"voraussichtliche Summe der Investitionsmehrkosten des Vorhabens  "&amp;Q5&amp;":"</f>
        <v>voraussichtliche Summe der Investitionsmehrkosten des Vorhabens  :</v>
      </c>
      <c r="M56" s="163" t="str">
        <f>IFERROR(M51+K47+I31,"")</f>
        <v/>
      </c>
    </row>
    <row r="57" spans="1:16" s="95" customFormat="1" ht="15">
      <c r="F57" s="161"/>
      <c r="G57" s="161"/>
      <c r="H57" s="161"/>
      <c r="I57" s="161"/>
      <c r="J57" s="161"/>
      <c r="K57" s="161"/>
      <c r="L57" s="160" t="s">
        <v>67</v>
      </c>
      <c r="M57" s="164" t="str">
        <f>VLOOKUP($L$3,DropDownMenüs!$F$10:$G$14,2,FALSE)</f>
        <v>-</v>
      </c>
      <c r="O57" s="157"/>
      <c r="P57" s="158"/>
    </row>
    <row r="58" spans="1:16" s="95" customFormat="1" ht="18.75" thickBot="1">
      <c r="H58" s="165"/>
      <c r="I58" s="165"/>
      <c r="J58" s="165"/>
      <c r="K58" s="165"/>
      <c r="L58" s="166" t="s">
        <v>66</v>
      </c>
      <c r="M58" s="167" t="str">
        <f>IFERROR($M$47+$K$31+$M$52,"")</f>
        <v/>
      </c>
    </row>
    <row r="59" spans="1:16" s="95" customFormat="1" ht="18.75" thickTop="1">
      <c r="F59" s="165"/>
      <c r="G59" s="165"/>
    </row>
    <row r="60" spans="1:16" s="95" customFormat="1" ht="18">
      <c r="B60" s="169" t="s">
        <v>119</v>
      </c>
      <c r="C60" s="170" t="s">
        <v>137</v>
      </c>
      <c r="F60" s="165"/>
      <c r="G60" s="165"/>
      <c r="H60" s="165"/>
      <c r="I60" s="165"/>
      <c r="J60" s="165"/>
      <c r="K60" s="165"/>
      <c r="L60" s="166"/>
      <c r="M60" s="168"/>
    </row>
    <row r="61" spans="1:16" s="95" customFormat="1" ht="27" customHeight="1">
      <c r="B61" s="169" t="s">
        <v>282</v>
      </c>
      <c r="C61" s="223" t="s">
        <v>332</v>
      </c>
      <c r="D61" s="223"/>
      <c r="E61" s="223"/>
      <c r="F61" s="223"/>
      <c r="G61" s="223"/>
      <c r="H61" s="223"/>
      <c r="I61" s="223"/>
      <c r="J61" s="223"/>
      <c r="K61" s="223"/>
      <c r="L61" s="223"/>
      <c r="M61" s="223"/>
    </row>
    <row r="62" spans="1:16" s="95" customFormat="1"/>
    <row r="63" spans="1:16" s="189" customFormat="1">
      <c r="A63" s="93" t="s">
        <v>139</v>
      </c>
      <c r="B63" s="169"/>
      <c r="C63" s="171"/>
      <c r="D63" s="172"/>
      <c r="E63" s="172"/>
      <c r="H63" s="93" t="s">
        <v>127</v>
      </c>
      <c r="M63" s="173" t="str">
        <f>"Version "&amp;Versionskontrolle!$D$41</f>
        <v>Version 1.0</v>
      </c>
    </row>
    <row r="64" spans="1:16" s="95" customFormat="1"/>
    <row r="65" spans="15:15" hidden="1">
      <c r="O65" s="93"/>
    </row>
    <row r="66" spans="15:15" hidden="1">
      <c r="O66" s="93"/>
    </row>
    <row r="67" spans="15:15" hidden="1">
      <c r="O67" s="93"/>
    </row>
    <row r="68" spans="15:15" hidden="1">
      <c r="O68" s="93"/>
    </row>
    <row r="69" spans="15:15" hidden="1">
      <c r="O69" s="93"/>
    </row>
    <row r="70" spans="15:15" hidden="1">
      <c r="O70" s="93"/>
    </row>
    <row r="71" spans="15:15" hidden="1">
      <c r="O71" s="93"/>
    </row>
    <row r="72" spans="15:15" hidden="1">
      <c r="O72" s="93"/>
    </row>
    <row r="73" spans="15:15" hidden="1">
      <c r="O73" s="93"/>
    </row>
    <row r="74" spans="15:15" hidden="1">
      <c r="O74" s="93"/>
    </row>
    <row r="75" spans="15:15" hidden="1">
      <c r="O75" s="93"/>
    </row>
    <row r="76" spans="15:15" hidden="1">
      <c r="O76" s="93"/>
    </row>
    <row r="77" spans="15:15" hidden="1"/>
  </sheetData>
  <sheetProtection password="F33B" sheet="1" objects="1" scenarios="1" selectLockedCells="1"/>
  <customSheetViews>
    <customSheetView guid="{41A31638-5241-47B1-A775-10C3959D1DD6}" scale="85" showPageBreaks="1" showGridLines="0" showRowCol="0" fitToPage="1" printArea="1" hiddenRows="1" hiddenColumns="1" view="pageLayout" showRuler="0" topLeftCell="A40">
      <selection activeCell="D6" sqref="D6:H6"/>
      <pageMargins left="0.25" right="0.25" top="0.75" bottom="0.75" header="0.3" footer="0.3"/>
      <pageSetup paperSize="9" scale="59" orientation="portrait" r:id="rId1"/>
    </customSheetView>
  </customSheetViews>
  <mergeCells count="32">
    <mergeCell ref="L5:M5"/>
    <mergeCell ref="C61:M61"/>
    <mergeCell ref="D43:E43"/>
    <mergeCell ref="D44:E44"/>
    <mergeCell ref="D45:E45"/>
    <mergeCell ref="D46:E46"/>
    <mergeCell ref="E30:G30"/>
    <mergeCell ref="D9:H9"/>
    <mergeCell ref="B12:M15"/>
    <mergeCell ref="D42:E42"/>
    <mergeCell ref="E29:G29"/>
    <mergeCell ref="E28:G28"/>
    <mergeCell ref="E27:G27"/>
    <mergeCell ref="E26:G26"/>
    <mergeCell ref="E20:G20"/>
    <mergeCell ref="E19:G19"/>
    <mergeCell ref="A1:N1"/>
    <mergeCell ref="D40:E40"/>
    <mergeCell ref="D41:E41"/>
    <mergeCell ref="D35:E35"/>
    <mergeCell ref="D36:E36"/>
    <mergeCell ref="D37:E37"/>
    <mergeCell ref="D38:E38"/>
    <mergeCell ref="D39:E39"/>
    <mergeCell ref="E25:G25"/>
    <mergeCell ref="E24:G24"/>
    <mergeCell ref="E23:G23"/>
    <mergeCell ref="E22:G22"/>
    <mergeCell ref="E21:G21"/>
    <mergeCell ref="L3:M3"/>
    <mergeCell ref="D7:H7"/>
    <mergeCell ref="D8:H8"/>
  </mergeCells>
  <conditionalFormatting sqref="C47:C51">
    <cfRule type="cellIs" dxfId="9" priority="5" operator="greaterThan">
      <formula>$C$31</formula>
    </cfRule>
  </conditionalFormatting>
  <conditionalFormatting sqref="D20:D30">
    <cfRule type="expression" dxfId="8" priority="1">
      <formula>C20&lt;1</formula>
    </cfRule>
  </conditionalFormatting>
  <dataValidations count="5">
    <dataValidation type="whole" operator="greaterThanOrEqual" allowBlank="1" showInputMessage="1" showErrorMessage="1" sqref="C21:C30">
      <formula1>0</formula1>
    </dataValidation>
    <dataValidation allowBlank="1" showInputMessage="1" showErrorMessage="1" promptTitle="Hinweis" prompt="Pflichtfeld" sqref="D7:H9"/>
    <dataValidation allowBlank="1" showInputMessage="1" showErrorMessage="1" promptTitle="Hinweis" prompt="TT.MM.YYYY" sqref="E3:E5"/>
    <dataValidation type="whole" operator="greaterThanOrEqual" allowBlank="1" showInputMessage="1" showErrorMessage="1" promptTitle="Hinweis" prompt="Pflichtfeld" sqref="C20">
      <formula1>0</formula1>
    </dataValidation>
    <dataValidation type="custom" errorStyle="warning" operator="greaterThanOrEqual" allowBlank="1" showInputMessage="1" showErrorMessage="1" errorTitle="Hinweis" error="Die Gesamtanzahl der Ladeinfrastruktur übersteigt die Anzahl der zu beschaffenden Fahrzeuge. Bitte reduzieren Sie ggf. die Anzal der Ladeinfrastruktur, bzw. begründen Sie dies im Falle der Aufforderung zur Antragseinreichung." promptTitle="Hinweis" prompt="Pflichtfeld" sqref="C36:C46">
      <formula1>$C$47&lt;=$C$31</formula1>
    </dataValidation>
  </dataValidations>
  <pageMargins left="0" right="0" top="0.74803149606299213" bottom="0.74803149606299213" header="0.31496062992125984" footer="0.31496062992125984"/>
  <pageSetup paperSize="9" scale="59" orientation="portrait" r:id="rId2"/>
  <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DropDownMenüs!$I$14:$I$16</xm:f>
          </x14:formula1>
          <xm:sqref>D21:D30</xm:sqref>
        </x14:dataValidation>
        <x14:dataValidation type="list" showDropDown="1" showInputMessage="1" showErrorMessage="1">
          <x14:formula1>
            <xm:f>DropDownMenüs!$I$11:$I$13</xm:f>
          </x14:formula1>
          <xm:sqref>H20:H30</xm:sqref>
        </x14:dataValidation>
        <x14:dataValidation type="list" allowBlank="1" showInputMessage="1" showErrorMessage="1" errorTitle="Hinweis!" error="Sie können bei der pauschalen Beantragung keine eigenen Angaben tätigen._x000a_Bitte wählen Sie ein Fahrzeug aus der Liste aus oder verwenden Sie den individuellen Ansatz.">
          <x14:formula1>
            <xm:f>Referenzmodelle!$C$9:$C$78</xm:f>
          </x14:formula1>
          <xm:sqref>E21:G30</xm:sqref>
        </x14:dataValidation>
        <x14:dataValidation type="list" allowBlank="1" showInputMessage="1" showErrorMessage="1" errorTitle="Hinweis!" error="Sie können bei der pauschalen Beantragung keine eigenen Angaben tätigen._x000a_Bitte wählen Sie eine Kategorie aus der Liste aus oder verwenden Sie den individuellen Ansatz.">
          <x14:formula1>
            <xm:f>Ladeinfrastruktur!$B$8:$B$13</xm:f>
          </x14:formula1>
          <xm:sqref>D37:E46</xm:sqref>
        </x14:dataValidation>
        <x14:dataValidation type="list" allowBlank="1" showInputMessage="1" showErrorMessage="1" errorTitle="Hinweis!" error="Sie können bei der pauschalen Beantragung keine eigenen Angaben tätigen._x000a_Bitte wählen Sie ein Fahrzeug aus der Liste aus oder verwenden Sie den individuellen Ansatz." promptTitle="Hinweis" prompt="Pflichtfeld">
          <x14:formula1>
            <xm:f>Referenzmodelle!$C$9:$C$80</xm:f>
          </x14:formula1>
          <xm:sqref>E20:G20</xm:sqref>
        </x14:dataValidation>
        <x14:dataValidation type="list" allowBlank="1" showInputMessage="1" showErrorMessage="1" promptTitle="Hinweis" prompt="Pflichtfeld">
          <x14:formula1>
            <xm:f>DropDownMenüs!$F$10:$F$13</xm:f>
          </x14:formula1>
          <xm:sqref>L3:M4</xm:sqref>
        </x14:dataValidation>
        <x14:dataValidation type="list" allowBlank="1" showInputMessage="1" showErrorMessage="1" promptTitle="Hinweis" prompt="Pflichtfeld">
          <x14:formula1>
            <xm:f>DropDownMenüs!$I$14:$I$16</xm:f>
          </x14:formula1>
          <xm:sqref>D20 L5:M5</xm:sqref>
        </x14:dataValidation>
        <x14:dataValidation type="list" allowBlank="1" showInputMessage="1" showErrorMessage="1" errorTitle="Hinweis!" error="Sie können bei der pauschalen Beantragung keine eigenen Angaben tätigen._x000a_Bitte wählen Sie eine Kategorie aus der Liste aus oder verwenden Sie den individuellen Ansatz." promptTitle="Hinweis" prompt="Pflichtfeld">
          <x14:formula1>
            <xm:f>Ladeinfrastruktur!$B$8:$B$13</xm:f>
          </x14:formula1>
          <xm:sqref>D36:E36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9"/>
  <sheetViews>
    <sheetView showGridLines="0" showRowColHeaders="0" showRuler="0" showWhiteSpace="0" view="pageLayout" zoomScaleNormal="100" workbookViewId="0">
      <selection activeCell="D31" sqref="D31:F31"/>
    </sheetView>
  </sheetViews>
  <sheetFormatPr baseColWidth="10" defaultColWidth="0" defaultRowHeight="14.25" zeroHeight="1"/>
  <cols>
    <col min="1" max="1" width="1.875" style="93" customWidth="1"/>
    <col min="2" max="2" width="4.875" style="93" customWidth="1"/>
    <col min="3" max="3" width="8" style="93" customWidth="1"/>
    <col min="4" max="4" width="7.375" style="93" customWidth="1"/>
    <col min="5" max="6" width="13.5" style="93" customWidth="1"/>
    <col min="7" max="7" width="13" style="93" customWidth="1"/>
    <col min="8" max="8" width="11.25" style="93" customWidth="1"/>
    <col min="9" max="10" width="17.125" style="93" customWidth="1"/>
    <col min="11" max="11" width="12.875" style="93" customWidth="1"/>
    <col min="12" max="12" width="11.25" style="93" customWidth="1"/>
    <col min="13" max="13" width="13.25" style="93" customWidth="1"/>
    <col min="14" max="14" width="7.5" style="93" customWidth="1"/>
    <col min="15" max="15" width="18.625" style="93" customWidth="1"/>
    <col min="16" max="16" width="2.75" style="93" customWidth="1"/>
    <col min="17" max="17" width="15.25" style="93" customWidth="1"/>
    <col min="18" max="18" width="1.875" style="93" customWidth="1"/>
    <col min="19" max="19" width="7.125" style="93" hidden="1" customWidth="1"/>
    <col min="20" max="20" width="15.75" style="93" hidden="1" customWidth="1"/>
    <col min="21" max="21" width="34.375" style="94" hidden="1" customWidth="1"/>
    <col min="22" max="22" width="13" style="94" hidden="1" customWidth="1"/>
    <col min="23" max="23" width="11.875" style="94" hidden="1" customWidth="1"/>
    <col min="24" max="24" width="8.625" style="94" hidden="1" customWidth="1"/>
    <col min="25" max="26" width="16.75" style="94" hidden="1" customWidth="1"/>
    <col min="27" max="27" width="7.75" style="94" hidden="1" customWidth="1"/>
    <col min="28" max="28" width="8.625" style="94" hidden="1" customWidth="1"/>
    <col min="29" max="29" width="66.625" style="94" hidden="1" customWidth="1"/>
    <col min="30" max="30" width="71.625" style="94" hidden="1" customWidth="1"/>
    <col min="31" max="31" width="8.625" style="94" hidden="1" customWidth="1"/>
    <col min="32" max="32" width="92.875" style="94" hidden="1" customWidth="1"/>
    <col min="33" max="44" width="8.125" style="94" hidden="1" customWidth="1"/>
    <col min="45" max="45" width="10.625" style="94" hidden="1" customWidth="1"/>
    <col min="46" max="16384" width="8.125" style="94" hidden="1"/>
  </cols>
  <sheetData>
    <row r="1" spans="1:20" s="206" customFormat="1" ht="23.25">
      <c r="A1" s="207" t="s">
        <v>129</v>
      </c>
      <c r="B1" s="207"/>
      <c r="C1" s="207"/>
      <c r="D1" s="207"/>
      <c r="E1" s="207"/>
      <c r="F1" s="207"/>
      <c r="G1" s="207"/>
      <c r="H1" s="207"/>
      <c r="I1" s="207"/>
      <c r="J1" s="207"/>
      <c r="K1" s="207"/>
      <c r="L1" s="207"/>
      <c r="M1" s="207"/>
      <c r="N1" s="207"/>
      <c r="O1" s="207"/>
      <c r="P1" s="207"/>
      <c r="Q1" s="207"/>
      <c r="R1" s="207"/>
    </row>
    <row r="2" spans="1:20"/>
    <row r="3" spans="1:20" ht="15">
      <c r="A3" s="95"/>
      <c r="B3" s="96" t="s">
        <v>120</v>
      </c>
      <c r="C3" s="95"/>
      <c r="D3" s="95"/>
      <c r="E3" s="63"/>
      <c r="F3" s="96"/>
      <c r="G3" s="95"/>
      <c r="H3" s="95"/>
      <c r="I3" s="95"/>
      <c r="J3" s="95"/>
      <c r="K3" s="95"/>
      <c r="L3" s="95"/>
      <c r="M3" s="97" t="s">
        <v>45</v>
      </c>
      <c r="N3" s="215" t="s">
        <v>44</v>
      </c>
      <c r="O3" s="216"/>
      <c r="P3" s="98"/>
      <c r="Q3" s="98"/>
      <c r="R3" s="95"/>
      <c r="S3" s="95"/>
      <c r="T3" s="95"/>
    </row>
    <row r="4" spans="1:20" ht="15">
      <c r="A4" s="95"/>
      <c r="B4" s="96"/>
      <c r="C4" s="95"/>
      <c r="D4" s="99"/>
      <c r="E4" s="100"/>
      <c r="F4" s="96"/>
      <c r="G4" s="95"/>
      <c r="H4" s="95"/>
      <c r="I4" s="95"/>
      <c r="J4" s="95"/>
      <c r="K4" s="95"/>
      <c r="L4" s="95"/>
      <c r="M4" s="97"/>
      <c r="N4" s="97"/>
      <c r="O4" s="97"/>
      <c r="P4" s="97"/>
      <c r="Q4" s="98"/>
      <c r="R4" s="95"/>
      <c r="S4" s="95"/>
      <c r="T4" s="95"/>
    </row>
    <row r="5" spans="1:20" ht="15">
      <c r="A5" s="95"/>
      <c r="B5" s="96"/>
      <c r="C5" s="95"/>
      <c r="D5" s="99"/>
      <c r="E5" s="100"/>
      <c r="F5" s="96"/>
      <c r="G5" s="95"/>
      <c r="H5" s="95"/>
      <c r="I5" s="95"/>
      <c r="J5" s="95"/>
      <c r="K5" s="95"/>
      <c r="L5" s="95"/>
      <c r="M5" s="97" t="s">
        <v>301</v>
      </c>
      <c r="N5" s="215" t="s">
        <v>44</v>
      </c>
      <c r="O5" s="216"/>
      <c r="P5" s="97"/>
      <c r="Q5" s="98"/>
      <c r="R5" s="95"/>
      <c r="S5" s="95"/>
      <c r="T5" s="94" t="str">
        <f>IFERROR(IF(N5&lt;&gt;"bitte wählen",IF(N5="ja","(Netto)","(Brutto)"),""),"")</f>
        <v/>
      </c>
    </row>
    <row r="6" spans="1:20">
      <c r="A6" s="95"/>
      <c r="B6" s="95"/>
      <c r="C6" s="95"/>
      <c r="D6" s="95"/>
      <c r="E6" s="95"/>
      <c r="F6" s="95"/>
      <c r="G6" s="101"/>
      <c r="H6" s="95"/>
      <c r="I6" s="95"/>
      <c r="J6" s="95"/>
      <c r="K6" s="95"/>
      <c r="L6" s="95"/>
      <c r="M6" s="102"/>
      <c r="N6" s="103"/>
      <c r="O6" s="103"/>
      <c r="P6" s="103"/>
      <c r="Q6" s="103"/>
      <c r="R6" s="95"/>
      <c r="S6" s="95"/>
      <c r="T6" s="95"/>
    </row>
    <row r="7" spans="1:20" ht="15">
      <c r="A7" s="95"/>
      <c r="B7" s="95" t="s">
        <v>68</v>
      </c>
      <c r="C7" s="104"/>
      <c r="D7" s="217"/>
      <c r="E7" s="218"/>
      <c r="F7" s="218"/>
      <c r="G7" s="218"/>
      <c r="H7" s="218"/>
      <c r="I7" s="219"/>
      <c r="J7" s="103"/>
      <c r="K7" s="95"/>
      <c r="L7" s="95"/>
      <c r="M7" s="95"/>
      <c r="N7" s="95"/>
      <c r="O7" s="95"/>
      <c r="P7" s="95"/>
      <c r="Q7" s="95"/>
      <c r="R7" s="95"/>
      <c r="S7" s="95"/>
      <c r="T7" s="95"/>
    </row>
    <row r="8" spans="1:20" ht="15">
      <c r="A8" s="95"/>
      <c r="B8" s="95" t="s">
        <v>69</v>
      </c>
      <c r="C8" s="105"/>
      <c r="D8" s="220"/>
      <c r="E8" s="221"/>
      <c r="F8" s="221"/>
      <c r="G8" s="221"/>
      <c r="H8" s="221"/>
      <c r="I8" s="222"/>
      <c r="J8" s="103"/>
      <c r="K8" s="95"/>
      <c r="L8" s="95"/>
      <c r="M8" s="95"/>
      <c r="N8" s="95"/>
      <c r="O8" s="95"/>
      <c r="P8" s="95"/>
      <c r="Q8" s="95"/>
      <c r="R8" s="95"/>
      <c r="S8" s="95"/>
      <c r="T8" s="95"/>
    </row>
    <row r="9" spans="1:20" ht="15">
      <c r="A9" s="95"/>
      <c r="B9" s="95" t="s">
        <v>65</v>
      </c>
      <c r="C9" s="104"/>
      <c r="D9" s="229"/>
      <c r="E9" s="230"/>
      <c r="F9" s="230"/>
      <c r="G9" s="230"/>
      <c r="H9" s="230"/>
      <c r="I9" s="231"/>
      <c r="J9" s="103"/>
      <c r="K9" s="95"/>
      <c r="L9" s="95"/>
      <c r="M9" s="95"/>
      <c r="N9" s="95"/>
      <c r="O9" s="95"/>
      <c r="P9" s="95"/>
      <c r="Q9" s="95"/>
      <c r="R9" s="95"/>
      <c r="S9" s="95"/>
      <c r="T9" s="95"/>
    </row>
    <row r="10" spans="1:20">
      <c r="A10" s="95"/>
      <c r="B10" s="106"/>
      <c r="C10" s="107"/>
      <c r="D10" s="107"/>
      <c r="E10" s="107"/>
      <c r="F10" s="107"/>
      <c r="G10" s="107"/>
      <c r="H10" s="107"/>
      <c r="I10" s="107"/>
      <c r="J10" s="107"/>
      <c r="K10" s="95"/>
      <c r="L10" s="95"/>
      <c r="M10" s="95"/>
      <c r="N10" s="95"/>
      <c r="O10" s="95"/>
      <c r="P10" s="95"/>
      <c r="Q10" s="95"/>
      <c r="R10" s="95"/>
      <c r="S10" s="95"/>
      <c r="T10" s="95"/>
    </row>
    <row r="11" spans="1:20">
      <c r="A11" s="95"/>
      <c r="B11" s="107"/>
      <c r="C11" s="107"/>
      <c r="D11" s="107"/>
      <c r="E11" s="107"/>
      <c r="F11" s="107"/>
      <c r="G11" s="107"/>
      <c r="H11" s="107"/>
      <c r="I11" s="107"/>
      <c r="J11" s="107"/>
      <c r="K11" s="95"/>
      <c r="L11" s="95"/>
      <c r="M11" s="95"/>
      <c r="N11" s="95"/>
      <c r="O11" s="95"/>
      <c r="P11" s="95"/>
      <c r="Q11" s="95"/>
      <c r="R11" s="95"/>
      <c r="S11" s="95"/>
      <c r="T11" s="95"/>
    </row>
    <row r="12" spans="1:20" ht="33" customHeight="1">
      <c r="A12" s="95"/>
      <c r="B12" s="240" t="s">
        <v>334</v>
      </c>
      <c r="C12" s="240"/>
      <c r="D12" s="240"/>
      <c r="E12" s="240"/>
      <c r="F12" s="240"/>
      <c r="G12" s="240"/>
      <c r="H12" s="240"/>
      <c r="I12" s="240"/>
      <c r="J12" s="240"/>
      <c r="K12" s="240"/>
      <c r="L12" s="240"/>
      <c r="M12" s="240"/>
      <c r="N12" s="240"/>
      <c r="O12" s="240"/>
      <c r="P12" s="108"/>
      <c r="Q12" s="108"/>
      <c r="R12" s="95"/>
      <c r="S12" s="95"/>
      <c r="T12" s="95"/>
    </row>
    <row r="13" spans="1:20" ht="33" customHeight="1">
      <c r="A13" s="95"/>
      <c r="B13" s="240"/>
      <c r="C13" s="240"/>
      <c r="D13" s="240"/>
      <c r="E13" s="240"/>
      <c r="F13" s="240"/>
      <c r="G13" s="240"/>
      <c r="H13" s="240"/>
      <c r="I13" s="240"/>
      <c r="J13" s="240"/>
      <c r="K13" s="240"/>
      <c r="L13" s="240"/>
      <c r="M13" s="240"/>
      <c r="N13" s="240"/>
      <c r="O13" s="240"/>
      <c r="P13" s="108"/>
      <c r="Q13" s="108"/>
      <c r="R13" s="95"/>
      <c r="S13" s="95"/>
      <c r="T13" s="95"/>
    </row>
    <row r="14" spans="1:20" ht="33" customHeight="1">
      <c r="A14" s="95"/>
      <c r="B14" s="240"/>
      <c r="C14" s="240"/>
      <c r="D14" s="240"/>
      <c r="E14" s="240"/>
      <c r="F14" s="240"/>
      <c r="G14" s="240"/>
      <c r="H14" s="240"/>
      <c r="I14" s="240"/>
      <c r="J14" s="240"/>
      <c r="K14" s="240"/>
      <c r="L14" s="240"/>
      <c r="M14" s="240"/>
      <c r="N14" s="240"/>
      <c r="O14" s="240"/>
      <c r="P14" s="108"/>
      <c r="Q14" s="108"/>
      <c r="R14" s="95"/>
      <c r="S14" s="95"/>
      <c r="T14" s="95"/>
    </row>
    <row r="15" spans="1:20" ht="33" customHeight="1">
      <c r="A15" s="95"/>
      <c r="B15" s="240"/>
      <c r="C15" s="240"/>
      <c r="D15" s="240"/>
      <c r="E15" s="240"/>
      <c r="F15" s="240"/>
      <c r="G15" s="240"/>
      <c r="H15" s="240"/>
      <c r="I15" s="240"/>
      <c r="J15" s="240"/>
      <c r="K15" s="240"/>
      <c r="L15" s="240"/>
      <c r="M15" s="240"/>
      <c r="N15" s="240"/>
      <c r="O15" s="240"/>
      <c r="P15" s="108"/>
      <c r="Q15" s="108"/>
      <c r="R15" s="95"/>
      <c r="S15" s="95"/>
      <c r="T15" s="95"/>
    </row>
    <row r="16" spans="1:20">
      <c r="A16" s="95"/>
      <c r="B16" s="108"/>
      <c r="C16" s="108"/>
      <c r="D16" s="108"/>
      <c r="E16" s="108"/>
      <c r="F16" s="108"/>
      <c r="G16" s="108"/>
      <c r="H16" s="108"/>
      <c r="I16" s="108"/>
      <c r="J16" s="108"/>
      <c r="K16" s="95"/>
      <c r="L16" s="95"/>
      <c r="M16" s="95"/>
      <c r="N16" s="95"/>
      <c r="O16" s="95"/>
      <c r="P16" s="95"/>
      <c r="Q16" s="95"/>
      <c r="R16" s="95"/>
      <c r="S16" s="95"/>
      <c r="T16" s="95"/>
    </row>
    <row r="17" spans="1:45" ht="15">
      <c r="A17" s="95"/>
      <c r="B17" s="109" t="s">
        <v>133</v>
      </c>
      <c r="C17" s="95"/>
      <c r="D17" s="95"/>
      <c r="E17" s="95"/>
      <c r="F17" s="95"/>
      <c r="G17" s="95"/>
      <c r="H17" s="95"/>
      <c r="I17" s="95"/>
      <c r="J17" s="95"/>
      <c r="K17" s="95"/>
      <c r="L17" s="95"/>
      <c r="M17" s="95"/>
      <c r="N17" s="95"/>
      <c r="O17" s="95"/>
      <c r="P17" s="95"/>
      <c r="Q17" s="95" t="str">
        <f>IF(E20&lt;&gt;"",IF(VLOOKUP(E20,Referenzmodelle!$C$9:$N$85,3,FALSE)&lt;60000,IFERROR(IF(D20="ja",VLOOKUP(E20,Referenzmodelle!$C$9:$N$85,9,FALSE),""),""),""),"")</f>
        <v/>
      </c>
      <c r="R17" s="95"/>
      <c r="S17" s="95"/>
      <c r="T17" s="95"/>
    </row>
    <row r="18" spans="1:45" ht="15.75" thickBot="1">
      <c r="A18" s="95"/>
      <c r="B18" s="110"/>
      <c r="C18" s="95"/>
      <c r="D18" s="95"/>
      <c r="E18" s="95"/>
      <c r="F18" s="95"/>
      <c r="G18" s="95"/>
      <c r="H18" s="95"/>
      <c r="I18" s="95"/>
      <c r="J18" s="95"/>
      <c r="K18" s="95"/>
      <c r="L18" s="95"/>
      <c r="M18" s="95"/>
      <c r="N18" s="95"/>
      <c r="O18" s="95"/>
      <c r="P18" s="95"/>
      <c r="Q18" s="95"/>
      <c r="R18" s="95"/>
      <c r="S18" s="95"/>
      <c r="T18" s="95"/>
    </row>
    <row r="19" spans="1:45" ht="60.75" customHeight="1">
      <c r="A19" s="95"/>
      <c r="B19" s="236" t="s">
        <v>63</v>
      </c>
      <c r="C19" s="236" t="s">
        <v>41</v>
      </c>
      <c r="D19" s="249" t="s">
        <v>131</v>
      </c>
      <c r="E19" s="250"/>
      <c r="F19" s="251"/>
      <c r="G19" s="247" t="str">
        <f>"Kosten pro Fahrzeug gemäß Angebot "&amp;$T$5</f>
        <v xml:space="preserve">Kosten pro Fahrzeug gemäß Angebot </v>
      </c>
      <c r="H19" s="245" t="s">
        <v>70</v>
      </c>
      <c r="I19" s="210" t="s">
        <v>130</v>
      </c>
      <c r="J19" s="241"/>
      <c r="K19" s="245" t="str">
        <f>"Kosten pro Fahrzeug gemäß Angebot  "&amp;$T$5</f>
        <v xml:space="preserve">Kosten pro Fahrzeug gemäß Angebot  </v>
      </c>
      <c r="L19" s="236" t="s">
        <v>317</v>
      </c>
      <c r="M19" s="236" t="str">
        <f>"Kalkulierte Investitions-
mehrkosten "&amp;$T$5</f>
        <v xml:space="preserve">Kalkulierte Investitions-
mehrkosten </v>
      </c>
      <c r="N19" s="236" t="s">
        <v>110</v>
      </c>
      <c r="O19" s="236" t="s">
        <v>312</v>
      </c>
      <c r="P19" s="111"/>
      <c r="Q19" s="268" t="s">
        <v>283</v>
      </c>
      <c r="R19" s="95"/>
      <c r="S19" s="95"/>
      <c r="T19" s="238" t="s">
        <v>136</v>
      </c>
      <c r="U19" s="236" t="s">
        <v>287</v>
      </c>
      <c r="V19" s="234" t="s">
        <v>296</v>
      </c>
      <c r="W19" s="112" t="s">
        <v>297</v>
      </c>
      <c r="X19" s="112" t="s">
        <v>298</v>
      </c>
      <c r="Y19" s="234" t="s">
        <v>323</v>
      </c>
      <c r="Z19" s="234" t="s">
        <v>324</v>
      </c>
    </row>
    <row r="20" spans="1:45" ht="13.5" customHeight="1">
      <c r="A20" s="95"/>
      <c r="B20" s="237"/>
      <c r="C20" s="237"/>
      <c r="D20" s="235"/>
      <c r="E20" s="252"/>
      <c r="F20" s="253"/>
      <c r="G20" s="248"/>
      <c r="H20" s="246"/>
      <c r="I20" s="113" t="s">
        <v>294</v>
      </c>
      <c r="J20" s="114" t="s">
        <v>295</v>
      </c>
      <c r="K20" s="246"/>
      <c r="L20" s="237"/>
      <c r="M20" s="237"/>
      <c r="N20" s="237"/>
      <c r="O20" s="237"/>
      <c r="P20" s="111"/>
      <c r="Q20" s="269"/>
      <c r="R20" s="95"/>
      <c r="S20" s="95"/>
      <c r="T20" s="239"/>
      <c r="U20" s="237"/>
      <c r="V20" s="235"/>
      <c r="Y20" s="235"/>
      <c r="Z20" s="235"/>
    </row>
    <row r="21" spans="1:45">
      <c r="A21" s="95"/>
      <c r="B21" s="115">
        <v>1</v>
      </c>
      <c r="C21" s="75"/>
      <c r="D21" s="242"/>
      <c r="E21" s="243"/>
      <c r="F21" s="244"/>
      <c r="G21" s="76"/>
      <c r="H21" s="77" t="s">
        <v>44</v>
      </c>
      <c r="I21" s="116" t="str">
        <f>IFERROR(VLOOKUP(D21,Referenzmodelle!$C$8:$N$80,4,FALSE),"")</f>
        <v/>
      </c>
      <c r="J21" s="78"/>
      <c r="K21" s="79"/>
      <c r="L21" s="87" t="s">
        <v>44</v>
      </c>
      <c r="M21" s="117" t="str">
        <f>IFERROR(ROUND(IF(AND(G21&lt;&gt;"",G21&gt;0,K21&lt;&gt;"",K21&gt;0,G21&gt;K21,C21&lt;&gt;"",C21&gt;0,$N$3&lt;&gt;"bitte wählen",$N$5&lt;&gt;"bitte wählen"),IF($N$5="ja",Y21,Z21),""),-2),"")</f>
        <v/>
      </c>
      <c r="N21" s="118" t="str">
        <f>IF(AND(M21&lt;&gt;"",M21&gt;0),IFERROR(VLOOKUP($N$3,DropDownMenüs!$F$10:$G$14,2,FALSE),""),"")</f>
        <v/>
      </c>
      <c r="O21" s="119" t="str">
        <f>+IFERROR(ROUND(N$21*M21,0),"")</f>
        <v/>
      </c>
      <c r="P21" s="120"/>
      <c r="Q21" s="121" t="str">
        <f>IF(AND(G21&lt;&gt;"",K21&lt;&gt;"",K21&lt;G21,G21&lt;60000,L21="ja"),IFERROR(IF(L21="ja",VLOOKUP(H21,DropDownMenüs!$I$11:$J$13,2,FALSE)*C21,0),""),"")</f>
        <v/>
      </c>
      <c r="R21" s="95"/>
      <c r="S21" s="95"/>
      <c r="T21" s="122">
        <f>IF(K21&gt;G21,1,0)</f>
        <v>0</v>
      </c>
      <c r="U21" s="123">
        <f t="shared" ref="U21:U31" si="0">+D21</f>
        <v>0</v>
      </c>
      <c r="V21" s="124">
        <f>+COUNTIF(Referenzmodelle!C9:C81,D21)</f>
        <v>0</v>
      </c>
      <c r="W21" s="112">
        <f>IF(D21="",0,IF(+COUNTIF(Referenzmodelle!$C$9:$C$81,D21)&gt;0,0,1))</f>
        <v>0</v>
      </c>
      <c r="X21" s="94">
        <f>IF(J21="",0,1)</f>
        <v>0</v>
      </c>
      <c r="Y21" s="205">
        <f>IFERROR(IF(L21="ja",(G21-K21-Q21/C21)*C21,(G21-K21)*C21),"")</f>
        <v>0</v>
      </c>
      <c r="Z21" s="205">
        <f>IFERROR(IF(L21="ja",((G21-K21)/1.19-Q21/C21)*1.19*C21,(G21-K21)*C21),"")</f>
        <v>0</v>
      </c>
      <c r="AS21" s="125"/>
    </row>
    <row r="22" spans="1:45">
      <c r="A22" s="95"/>
      <c r="B22" s="115">
        <v>2</v>
      </c>
      <c r="C22" s="75"/>
      <c r="D22" s="242"/>
      <c r="E22" s="243"/>
      <c r="F22" s="244"/>
      <c r="G22" s="76"/>
      <c r="H22" s="77" t="s">
        <v>44</v>
      </c>
      <c r="I22" s="116" t="str">
        <f>IFERROR(VLOOKUP(D22,Referenzmodelle!$C$8:$N$80,4,FALSE),"")</f>
        <v/>
      </c>
      <c r="J22" s="78"/>
      <c r="K22" s="79"/>
      <c r="L22" s="80" t="s">
        <v>44</v>
      </c>
      <c r="M22" s="117" t="str">
        <f t="shared" ref="M22:M31" si="1">IFERROR(ROUND(IF(AND(G22&lt;&gt;"",G22&gt;0,K22&lt;&gt;"",K22&gt;0,G22&gt;K22,C22&lt;&gt;"",C22&gt;0,$N$3&lt;&gt;"bitte wählen",$N$5&lt;&gt;"bitte wählen"),IF($N$5="ja",Y22,Z22),""),-2),"")</f>
        <v/>
      </c>
      <c r="N22" s="118" t="str">
        <f>IF(AND(M22&lt;&gt;"",M22&gt;0),IFERROR(VLOOKUP($N$3,DropDownMenüs!$F$10:$G$14,2,FALSE),""),"")</f>
        <v/>
      </c>
      <c r="O22" s="119" t="str">
        <f t="shared" ref="O22:O31" si="2">+IFERROR(ROUND(N$21*M22,0),"")</f>
        <v/>
      </c>
      <c r="P22" s="120"/>
      <c r="Q22" s="121" t="str">
        <f>IF(AND(G22&lt;&gt;"",K22&lt;&gt;"",K22&lt;G22,G22&lt;60000,L22="ja"),IFERROR(IF(L22="ja",VLOOKUP(H22,DropDownMenüs!$I$11:$J$13,2,FALSE)*C22,0),""),"")</f>
        <v/>
      </c>
      <c r="R22" s="95"/>
      <c r="S22" s="95"/>
      <c r="T22" s="122">
        <f>IF(K22&gt;G22,1,0)</f>
        <v>0</v>
      </c>
      <c r="U22" s="123">
        <f t="shared" si="0"/>
        <v>0</v>
      </c>
      <c r="V22" s="124">
        <f>+COUNTIF(Referenzmodelle!$C$9:$C$80,D22)</f>
        <v>0</v>
      </c>
      <c r="W22" s="112">
        <f>IF(D22="",0,IF(+COUNTIF(Referenzmodelle!$C$9:$C$81,D22)&gt;0,0,1))</f>
        <v>0</v>
      </c>
      <c r="X22" s="94">
        <f t="shared" ref="X22:X31" si="3">IF(J22="",0,1)</f>
        <v>0</v>
      </c>
      <c r="Y22" s="205">
        <f t="shared" ref="Y22:Y31" si="4">IFERROR(IF(L22="ja",(G22-K22-Q22/C22)*C22,(G22-K22)*C22),"")</f>
        <v>0</v>
      </c>
      <c r="Z22" s="205">
        <f t="shared" ref="Z22:Z31" si="5">IFERROR(IF(L22="ja",((G22-K22)/1.19-Q22/C22)*1.19*C22,(G22-K22)*C22),"")</f>
        <v>0</v>
      </c>
      <c r="AS22" s="125"/>
    </row>
    <row r="23" spans="1:45">
      <c r="A23" s="95"/>
      <c r="B23" s="115">
        <v>3</v>
      </c>
      <c r="C23" s="75"/>
      <c r="D23" s="242"/>
      <c r="E23" s="243"/>
      <c r="F23" s="244"/>
      <c r="G23" s="76"/>
      <c r="H23" s="77" t="s">
        <v>44</v>
      </c>
      <c r="I23" s="116" t="str">
        <f>IFERROR(VLOOKUP(D23,Referenzmodelle!$C$8:$N$80,4,FALSE),"")</f>
        <v/>
      </c>
      <c r="J23" s="78"/>
      <c r="K23" s="79"/>
      <c r="L23" s="80" t="s">
        <v>44</v>
      </c>
      <c r="M23" s="117" t="str">
        <f t="shared" si="1"/>
        <v/>
      </c>
      <c r="N23" s="118" t="str">
        <f>IF(AND(M23&lt;&gt;"",M23&gt;0),IFERROR(VLOOKUP($N$3,DropDownMenüs!$F$10:$G$14,2,FALSE),""),"")</f>
        <v/>
      </c>
      <c r="O23" s="119" t="str">
        <f t="shared" si="2"/>
        <v/>
      </c>
      <c r="P23" s="120"/>
      <c r="Q23" s="121" t="str">
        <f>IF(AND(G23&lt;&gt;"",K23&lt;&gt;"",K23&lt;G23,G23&lt;60000,L23="ja"),IFERROR(IF(L23="ja",VLOOKUP(H23,DropDownMenüs!$I$11:$J$13,2,FALSE)*C23,0),""),"")</f>
        <v/>
      </c>
      <c r="R23" s="95"/>
      <c r="S23" s="95"/>
      <c r="T23" s="122">
        <f t="shared" ref="T23:T31" si="6">IF(K23&gt;G23,1,0)</f>
        <v>0</v>
      </c>
      <c r="U23" s="123">
        <f t="shared" si="0"/>
        <v>0</v>
      </c>
      <c r="V23" s="124">
        <f>+COUNTIF(Referenzmodelle!$C$9:$C$80,D23)</f>
        <v>0</v>
      </c>
      <c r="W23" s="112">
        <f>IF(D23="",0,IF(+COUNTIF(Referenzmodelle!$C$9:$C$81,D23)&gt;0,0,1))</f>
        <v>0</v>
      </c>
      <c r="X23" s="94">
        <f t="shared" si="3"/>
        <v>0</v>
      </c>
      <c r="Y23" s="205">
        <f t="shared" si="4"/>
        <v>0</v>
      </c>
      <c r="Z23" s="205">
        <f t="shared" si="5"/>
        <v>0</v>
      </c>
    </row>
    <row r="24" spans="1:45">
      <c r="A24" s="95"/>
      <c r="B24" s="115">
        <v>4</v>
      </c>
      <c r="C24" s="75"/>
      <c r="D24" s="242"/>
      <c r="E24" s="243"/>
      <c r="F24" s="244"/>
      <c r="G24" s="76"/>
      <c r="H24" s="77" t="s">
        <v>44</v>
      </c>
      <c r="I24" s="116" t="str">
        <f>IFERROR(VLOOKUP(D24,Referenzmodelle!$C$8:$N$80,4,FALSE),"")</f>
        <v/>
      </c>
      <c r="J24" s="78"/>
      <c r="K24" s="79"/>
      <c r="L24" s="80" t="s">
        <v>44</v>
      </c>
      <c r="M24" s="117" t="str">
        <f t="shared" si="1"/>
        <v/>
      </c>
      <c r="N24" s="118" t="str">
        <f>IF(AND(M24&lt;&gt;"",M24&gt;0),IFERROR(VLOOKUP($N$3,DropDownMenüs!$F$10:$G$14,2,FALSE),""),"")</f>
        <v/>
      </c>
      <c r="O24" s="119" t="str">
        <f t="shared" si="2"/>
        <v/>
      </c>
      <c r="P24" s="120"/>
      <c r="Q24" s="121" t="str">
        <f>IF(AND(G24&lt;&gt;"",K24&lt;&gt;"",K24&lt;G24,G24&lt;60000,L24="ja"),IFERROR(IF(L24="ja",VLOOKUP(H24,DropDownMenüs!$I$11:$J$13,2,FALSE)*C24,0),""),"")</f>
        <v/>
      </c>
      <c r="R24" s="95"/>
      <c r="S24" s="95"/>
      <c r="T24" s="122">
        <f t="shared" si="6"/>
        <v>0</v>
      </c>
      <c r="U24" s="123">
        <f t="shared" si="0"/>
        <v>0</v>
      </c>
      <c r="V24" s="124">
        <f>+COUNTIF(Referenzmodelle!$C$9:$C$80,D24)</f>
        <v>0</v>
      </c>
      <c r="W24" s="112">
        <f>IF(D24="",0,IF(+COUNTIF(Referenzmodelle!$C$9:$C$81,D24)&gt;0,0,1))</f>
        <v>0</v>
      </c>
      <c r="X24" s="94">
        <f t="shared" si="3"/>
        <v>0</v>
      </c>
      <c r="Y24" s="205">
        <f t="shared" si="4"/>
        <v>0</v>
      </c>
      <c r="Z24" s="205">
        <f t="shared" si="5"/>
        <v>0</v>
      </c>
    </row>
    <row r="25" spans="1:45">
      <c r="A25" s="95"/>
      <c r="B25" s="115">
        <v>5</v>
      </c>
      <c r="C25" s="75"/>
      <c r="D25" s="242"/>
      <c r="E25" s="243"/>
      <c r="F25" s="244"/>
      <c r="G25" s="76"/>
      <c r="H25" s="77" t="s">
        <v>44</v>
      </c>
      <c r="I25" s="116" t="str">
        <f>IFERROR(VLOOKUP(D25,Referenzmodelle!$C$8:$N$80,4,FALSE),"")</f>
        <v/>
      </c>
      <c r="J25" s="78"/>
      <c r="K25" s="79"/>
      <c r="L25" s="80" t="s">
        <v>44</v>
      </c>
      <c r="M25" s="117" t="str">
        <f t="shared" si="1"/>
        <v/>
      </c>
      <c r="N25" s="118" t="str">
        <f>IF(AND(M25&lt;&gt;"",M25&gt;0),IFERROR(VLOOKUP($N$3,DropDownMenüs!$F$10:$G$14,2,FALSE),""),"")</f>
        <v/>
      </c>
      <c r="O25" s="119" t="str">
        <f t="shared" si="2"/>
        <v/>
      </c>
      <c r="P25" s="120"/>
      <c r="Q25" s="121" t="str">
        <f>IF(AND(G25&lt;&gt;"",K25&lt;&gt;"",K25&lt;G25,G25&lt;60000,L25="ja"),IFERROR(IF(L25="ja",VLOOKUP(H25,DropDownMenüs!$I$11:$J$13,2,FALSE)*C25,0),""),"")</f>
        <v/>
      </c>
      <c r="R25" s="95"/>
      <c r="S25" s="95"/>
      <c r="T25" s="122">
        <f t="shared" si="6"/>
        <v>0</v>
      </c>
      <c r="U25" s="123">
        <f t="shared" si="0"/>
        <v>0</v>
      </c>
      <c r="V25" s="124">
        <f>+COUNTIF(Referenzmodelle!$C$9:$C$80,D25)</f>
        <v>0</v>
      </c>
      <c r="W25" s="112">
        <f>IF(D25="",0,IF(+COUNTIF(Referenzmodelle!$C$9:$C$81,D25)&gt;0,0,1))</f>
        <v>0</v>
      </c>
      <c r="X25" s="94">
        <f t="shared" si="3"/>
        <v>0</v>
      </c>
      <c r="Y25" s="205">
        <f t="shared" si="4"/>
        <v>0</v>
      </c>
      <c r="Z25" s="205">
        <f t="shared" si="5"/>
        <v>0</v>
      </c>
    </row>
    <row r="26" spans="1:45">
      <c r="A26" s="95"/>
      <c r="B26" s="115">
        <v>6</v>
      </c>
      <c r="C26" s="75"/>
      <c r="D26" s="242"/>
      <c r="E26" s="243"/>
      <c r="F26" s="244"/>
      <c r="G26" s="76"/>
      <c r="H26" s="77" t="s">
        <v>44</v>
      </c>
      <c r="I26" s="116" t="str">
        <f>IFERROR(VLOOKUP(D26,Referenzmodelle!$C$8:$N$80,4,FALSE),"")</f>
        <v/>
      </c>
      <c r="J26" s="78"/>
      <c r="K26" s="79"/>
      <c r="L26" s="80" t="s">
        <v>44</v>
      </c>
      <c r="M26" s="117" t="str">
        <f t="shared" si="1"/>
        <v/>
      </c>
      <c r="N26" s="118" t="str">
        <f>IF(AND(M26&lt;&gt;"",M26&gt;0),IFERROR(VLOOKUP($N$3,DropDownMenüs!$F$10:$G$14,2,FALSE),""),"")</f>
        <v/>
      </c>
      <c r="O26" s="119" t="str">
        <f t="shared" si="2"/>
        <v/>
      </c>
      <c r="P26" s="120"/>
      <c r="Q26" s="121" t="str">
        <f>IF(AND(G26&lt;&gt;"",K26&lt;&gt;"",K26&lt;G26,G26&lt;60000,L26="ja"),IFERROR(IF(L26="ja",VLOOKUP(H26,DropDownMenüs!$I$11:$J$13,2,FALSE)*C26,0),""),"")</f>
        <v/>
      </c>
      <c r="R26" s="95"/>
      <c r="S26" s="95"/>
      <c r="T26" s="122">
        <f t="shared" si="6"/>
        <v>0</v>
      </c>
      <c r="U26" s="123">
        <f t="shared" si="0"/>
        <v>0</v>
      </c>
      <c r="V26" s="124">
        <f>+COUNTIF(Referenzmodelle!$C$9:$C$80,D26)</f>
        <v>0</v>
      </c>
      <c r="W26" s="112">
        <f>IF(D26="",0,IF(+COUNTIF(Referenzmodelle!$C$9:$C$81,D26)&gt;0,0,1))</f>
        <v>0</v>
      </c>
      <c r="X26" s="94">
        <f t="shared" si="3"/>
        <v>0</v>
      </c>
      <c r="Y26" s="205">
        <f t="shared" si="4"/>
        <v>0</v>
      </c>
      <c r="Z26" s="205">
        <f t="shared" si="5"/>
        <v>0</v>
      </c>
    </row>
    <row r="27" spans="1:45">
      <c r="A27" s="95"/>
      <c r="B27" s="115">
        <v>7</v>
      </c>
      <c r="C27" s="75"/>
      <c r="D27" s="242"/>
      <c r="E27" s="243"/>
      <c r="F27" s="244"/>
      <c r="G27" s="76"/>
      <c r="H27" s="77" t="s">
        <v>44</v>
      </c>
      <c r="I27" s="116" t="str">
        <f>IFERROR(VLOOKUP(D27,Referenzmodelle!$C$8:$N$80,4,FALSE),"")</f>
        <v/>
      </c>
      <c r="J27" s="78"/>
      <c r="K27" s="79"/>
      <c r="L27" s="80" t="s">
        <v>44</v>
      </c>
      <c r="M27" s="117" t="str">
        <f t="shared" si="1"/>
        <v/>
      </c>
      <c r="N27" s="118" t="str">
        <f>IF(AND(M27&lt;&gt;"",M27&gt;0),IFERROR(VLOOKUP($N$3,DropDownMenüs!$F$10:$G$14,2,FALSE),""),"")</f>
        <v/>
      </c>
      <c r="O27" s="119" t="str">
        <f t="shared" si="2"/>
        <v/>
      </c>
      <c r="P27" s="120"/>
      <c r="Q27" s="121" t="str">
        <f>IF(AND(G27&lt;&gt;"",K27&lt;&gt;"",K27&lt;G27,G27&lt;60000,L27="ja"),IFERROR(IF(L27="ja",VLOOKUP(H27,DropDownMenüs!$I$11:$J$13,2,FALSE)*C27,0),""),"")</f>
        <v/>
      </c>
      <c r="R27" s="95"/>
      <c r="S27" s="95"/>
      <c r="T27" s="122">
        <f t="shared" si="6"/>
        <v>0</v>
      </c>
      <c r="U27" s="123">
        <f t="shared" si="0"/>
        <v>0</v>
      </c>
      <c r="V27" s="124">
        <f>+COUNTIF(Referenzmodelle!$C$9:$C$80,D27)</f>
        <v>0</v>
      </c>
      <c r="W27" s="112">
        <f>IF(D27="",0,IF(+COUNTIF(Referenzmodelle!$C$9:$C$81,D27)&gt;0,0,1))</f>
        <v>0</v>
      </c>
      <c r="X27" s="94">
        <f t="shared" si="3"/>
        <v>0</v>
      </c>
      <c r="Y27" s="205">
        <f t="shared" si="4"/>
        <v>0</v>
      </c>
      <c r="Z27" s="205">
        <f t="shared" si="5"/>
        <v>0</v>
      </c>
    </row>
    <row r="28" spans="1:45">
      <c r="A28" s="95"/>
      <c r="B28" s="115">
        <v>8</v>
      </c>
      <c r="C28" s="75"/>
      <c r="D28" s="242"/>
      <c r="E28" s="243"/>
      <c r="F28" s="244"/>
      <c r="G28" s="76"/>
      <c r="H28" s="77" t="s">
        <v>44</v>
      </c>
      <c r="I28" s="116" t="str">
        <f>IFERROR(VLOOKUP(D28,Referenzmodelle!$C$8:$N$80,4,FALSE),"")</f>
        <v/>
      </c>
      <c r="J28" s="78"/>
      <c r="K28" s="79"/>
      <c r="L28" s="80" t="s">
        <v>44</v>
      </c>
      <c r="M28" s="117" t="str">
        <f t="shared" si="1"/>
        <v/>
      </c>
      <c r="N28" s="118" t="str">
        <f>IF(AND(M28&lt;&gt;"",M28&gt;0),IFERROR(VLOOKUP($N$3,DropDownMenüs!$F$10:$G$14,2,FALSE),""),"")</f>
        <v/>
      </c>
      <c r="O28" s="119" t="str">
        <f t="shared" si="2"/>
        <v/>
      </c>
      <c r="P28" s="120"/>
      <c r="Q28" s="121" t="str">
        <f>IF(AND(G28&lt;&gt;"",K28&lt;&gt;"",K28&lt;G28,G28&lt;60000,L28="ja"),IFERROR(IF(L28="ja",VLOOKUP(H28,DropDownMenüs!$I$11:$J$13,2,FALSE)*C28,0),""),"")</f>
        <v/>
      </c>
      <c r="R28" s="95"/>
      <c r="S28" s="95"/>
      <c r="T28" s="122">
        <f t="shared" si="6"/>
        <v>0</v>
      </c>
      <c r="U28" s="123">
        <f t="shared" si="0"/>
        <v>0</v>
      </c>
      <c r="V28" s="124">
        <f>+COUNTIF(Referenzmodelle!$C$9:$C$80,D28)</f>
        <v>0</v>
      </c>
      <c r="W28" s="112">
        <f>IF(D28="",0,IF(+COUNTIF(Referenzmodelle!$C$9:$C$81,D28)&gt;0,0,1))</f>
        <v>0</v>
      </c>
      <c r="X28" s="94">
        <f t="shared" si="3"/>
        <v>0</v>
      </c>
      <c r="Y28" s="205">
        <f t="shared" si="4"/>
        <v>0</v>
      </c>
      <c r="Z28" s="205">
        <f t="shared" si="5"/>
        <v>0</v>
      </c>
    </row>
    <row r="29" spans="1:45">
      <c r="A29" s="95"/>
      <c r="B29" s="115">
        <v>9</v>
      </c>
      <c r="C29" s="75"/>
      <c r="D29" s="242"/>
      <c r="E29" s="243"/>
      <c r="F29" s="244"/>
      <c r="G29" s="76"/>
      <c r="H29" s="77" t="s">
        <v>44</v>
      </c>
      <c r="I29" s="116" t="str">
        <f>IFERROR(VLOOKUP(D29,Referenzmodelle!$C$8:$N$80,4,FALSE),"")</f>
        <v/>
      </c>
      <c r="J29" s="78"/>
      <c r="K29" s="79"/>
      <c r="L29" s="80" t="s">
        <v>44</v>
      </c>
      <c r="M29" s="117" t="str">
        <f t="shared" si="1"/>
        <v/>
      </c>
      <c r="N29" s="118" t="str">
        <f>IF(AND(M29&lt;&gt;"",M29&gt;0),IFERROR(VLOOKUP($N$3,DropDownMenüs!$F$10:$G$14,2,FALSE),""),"")</f>
        <v/>
      </c>
      <c r="O29" s="119" t="str">
        <f t="shared" si="2"/>
        <v/>
      </c>
      <c r="P29" s="120"/>
      <c r="Q29" s="121" t="str">
        <f>IF(AND(G29&lt;&gt;"",K29&lt;&gt;"",K29&lt;G29,G29&lt;60000,L29="ja"),IFERROR(IF(L29="ja",VLOOKUP(H29,DropDownMenüs!$I$11:$J$13,2,FALSE)*C29,0),""),"")</f>
        <v/>
      </c>
      <c r="R29" s="95"/>
      <c r="S29" s="95"/>
      <c r="T29" s="122">
        <f t="shared" si="6"/>
        <v>0</v>
      </c>
      <c r="U29" s="123">
        <f t="shared" si="0"/>
        <v>0</v>
      </c>
      <c r="V29" s="124">
        <f>+COUNTIF(Referenzmodelle!$C$9:$C$80,D29)</f>
        <v>0</v>
      </c>
      <c r="W29" s="112">
        <f>IF(D29="",0,IF(+COUNTIF(Referenzmodelle!$C$9:$C$81,D29)&gt;0,0,1))</f>
        <v>0</v>
      </c>
      <c r="X29" s="94">
        <f t="shared" si="3"/>
        <v>0</v>
      </c>
      <c r="Y29" s="205">
        <f t="shared" si="4"/>
        <v>0</v>
      </c>
      <c r="Z29" s="205">
        <f t="shared" si="5"/>
        <v>0</v>
      </c>
    </row>
    <row r="30" spans="1:45">
      <c r="A30" s="95"/>
      <c r="B30" s="115">
        <v>10</v>
      </c>
      <c r="C30" s="75"/>
      <c r="D30" s="242"/>
      <c r="E30" s="243"/>
      <c r="F30" s="244"/>
      <c r="G30" s="76"/>
      <c r="H30" s="77" t="s">
        <v>44</v>
      </c>
      <c r="I30" s="116" t="str">
        <f>IFERROR(VLOOKUP(D30,Referenzmodelle!$C$8:$N$80,4,FALSE),"")</f>
        <v/>
      </c>
      <c r="J30" s="78"/>
      <c r="K30" s="79"/>
      <c r="L30" s="80" t="s">
        <v>44</v>
      </c>
      <c r="M30" s="117" t="str">
        <f t="shared" si="1"/>
        <v/>
      </c>
      <c r="N30" s="118" t="str">
        <f>IF(AND(M30&lt;&gt;"",M30&gt;0),IFERROR(VLOOKUP($N$3,DropDownMenüs!$F$10:$G$14,2,FALSE),""),"")</f>
        <v/>
      </c>
      <c r="O30" s="119" t="str">
        <f t="shared" si="2"/>
        <v/>
      </c>
      <c r="P30" s="120"/>
      <c r="Q30" s="121" t="str">
        <f>IF(AND(G30&lt;&gt;"",K30&lt;&gt;"",K30&lt;G30,G30&lt;60000,L30="ja"),IFERROR(IF(L30="ja",VLOOKUP(H30,DropDownMenüs!$I$11:$J$13,2,FALSE)*C30,0),""),"")</f>
        <v/>
      </c>
      <c r="R30" s="95"/>
      <c r="S30" s="95"/>
      <c r="T30" s="122">
        <f t="shared" si="6"/>
        <v>0</v>
      </c>
      <c r="U30" s="123">
        <f t="shared" si="0"/>
        <v>0</v>
      </c>
      <c r="V30" s="124">
        <f>+COUNTIF(Referenzmodelle!$C$9:$C$80,D30)</f>
        <v>0</v>
      </c>
      <c r="W30" s="112">
        <f>IF(D30="",0,IF(+COUNTIF(Referenzmodelle!$C$9:$C$81,D30)&gt;0,0,1))</f>
        <v>0</v>
      </c>
      <c r="X30" s="94">
        <f t="shared" si="3"/>
        <v>0</v>
      </c>
      <c r="Y30" s="205">
        <f t="shared" si="4"/>
        <v>0</v>
      </c>
      <c r="Z30" s="205">
        <f t="shared" si="5"/>
        <v>0</v>
      </c>
    </row>
    <row r="31" spans="1:45" ht="15" thickBot="1">
      <c r="A31" s="95"/>
      <c r="B31" s="126">
        <v>11</v>
      </c>
      <c r="C31" s="81"/>
      <c r="D31" s="254"/>
      <c r="E31" s="255"/>
      <c r="F31" s="256"/>
      <c r="G31" s="82"/>
      <c r="H31" s="83" t="s">
        <v>44</v>
      </c>
      <c r="I31" s="127" t="str">
        <f>IFERROR(VLOOKUP(D31,Referenzmodelle!$C$8:$N$80,4,FALSE),"")</f>
        <v/>
      </c>
      <c r="J31" s="84"/>
      <c r="K31" s="85"/>
      <c r="L31" s="86" t="s">
        <v>44</v>
      </c>
      <c r="M31" s="117" t="str">
        <f t="shared" si="1"/>
        <v/>
      </c>
      <c r="N31" s="128" t="str">
        <f>IF(AND(M31&lt;&gt;"",M31&gt;0),IFERROR(VLOOKUP($N$3,DropDownMenüs!$F$10:$G$14,2,FALSE),""),"")</f>
        <v/>
      </c>
      <c r="O31" s="119" t="str">
        <f t="shared" si="2"/>
        <v/>
      </c>
      <c r="P31" s="120"/>
      <c r="Q31" s="121" t="str">
        <f>IF(AND(G31&lt;&gt;"",K31&lt;&gt;"",K31&lt;G31,G31&lt;60000,L31="ja"),IFERROR(IF(L31="ja",VLOOKUP(H31,DropDownMenüs!$I$11:$J$13,2,FALSE)*C31,0),""),"")</f>
        <v/>
      </c>
      <c r="R31" s="95"/>
      <c r="S31" s="95"/>
      <c r="T31" s="122">
        <f t="shared" si="6"/>
        <v>0</v>
      </c>
      <c r="U31" s="123">
        <f t="shared" si="0"/>
        <v>0</v>
      </c>
      <c r="V31" s="124">
        <f>+COUNTIF(Referenzmodelle!$C$9:$C$80,D31)</f>
        <v>0</v>
      </c>
      <c r="W31" s="112">
        <f>IF(D31="",0,IF(+COUNTIF(Referenzmodelle!$C$9:$C$81,D31)&gt;0,0,1))</f>
        <v>0</v>
      </c>
      <c r="X31" s="94">
        <f t="shared" si="3"/>
        <v>0</v>
      </c>
      <c r="Y31" s="205">
        <f t="shared" si="4"/>
        <v>0</v>
      </c>
      <c r="Z31" s="205">
        <f t="shared" si="5"/>
        <v>0</v>
      </c>
    </row>
    <row r="32" spans="1:45" ht="18.75" thickBot="1">
      <c r="A32" s="95"/>
      <c r="B32" s="129" t="s">
        <v>106</v>
      </c>
      <c r="C32" s="130">
        <f>+SUM(C21:C31)</f>
        <v>0</v>
      </c>
      <c r="D32" s="95"/>
      <c r="E32" s="131"/>
      <c r="F32" s="131"/>
      <c r="G32" s="132"/>
      <c r="H32" s="133" t="s">
        <v>285</v>
      </c>
      <c r="I32" s="132"/>
      <c r="J32" s="132"/>
      <c r="K32" s="132"/>
      <c r="L32" s="132"/>
      <c r="M32" s="134">
        <f>+IFERROR(SUM(M21:M31),"")</f>
        <v>0</v>
      </c>
      <c r="N32" s="135" t="s">
        <v>119</v>
      </c>
      <c r="O32" s="134">
        <f>IFERROR(SUM(O21:O31),"")</f>
        <v>0</v>
      </c>
      <c r="P32" s="136"/>
      <c r="Q32" s="137">
        <f>+SUM(Q21:Q31)</f>
        <v>0</v>
      </c>
      <c r="R32" s="95"/>
      <c r="S32" s="95"/>
      <c r="T32" s="138">
        <f>+SUM(T21:T31)</f>
        <v>0</v>
      </c>
      <c r="U32" s="101"/>
      <c r="V32" s="94">
        <f>+SUM(V21:V31)</f>
        <v>0</v>
      </c>
      <c r="W32" s="94">
        <f>+SUM(W21:W31)</f>
        <v>0</v>
      </c>
      <c r="X32" s="94">
        <f>+SUM(X21:X31)</f>
        <v>0</v>
      </c>
      <c r="Y32" s="204"/>
      <c r="Z32" s="204"/>
    </row>
    <row r="33" spans="1:30" ht="12.75" customHeight="1" thickTop="1">
      <c r="A33" s="95"/>
      <c r="B33" s="94"/>
      <c r="C33" s="95"/>
      <c r="D33" s="95"/>
      <c r="E33" s="95"/>
      <c r="F33" s="95"/>
      <c r="G33" s="95"/>
      <c r="H33" s="139" t="s">
        <v>284</v>
      </c>
      <c r="I33" s="95"/>
      <c r="J33" s="95"/>
      <c r="K33" s="95"/>
      <c r="L33" s="95"/>
      <c r="M33" s="104"/>
      <c r="N33" s="95"/>
      <c r="O33" s="95"/>
      <c r="P33" s="95"/>
      <c r="Q33" s="95"/>
      <c r="R33" s="95"/>
      <c r="S33" s="95"/>
      <c r="T33" s="95"/>
      <c r="V33" s="140"/>
      <c r="Y33" s="99"/>
      <c r="Z33" s="99"/>
    </row>
    <row r="34" spans="1:30" ht="15" customHeight="1" thickBot="1">
      <c r="A34" s="95"/>
      <c r="B34" s="141"/>
      <c r="C34" s="95"/>
      <c r="D34" s="95"/>
      <c r="E34" s="95"/>
      <c r="F34" s="95"/>
      <c r="G34" s="95"/>
      <c r="H34" s="139"/>
      <c r="I34" s="95"/>
      <c r="J34" s="95"/>
      <c r="K34" s="95"/>
      <c r="L34" s="95"/>
      <c r="M34" s="104"/>
      <c r="N34" s="95"/>
      <c r="O34" s="95"/>
      <c r="P34" s="95"/>
      <c r="Q34" s="95"/>
      <c r="R34" s="95"/>
      <c r="S34" s="95"/>
      <c r="T34" s="95"/>
    </row>
    <row r="35" spans="1:30" ht="15" customHeight="1">
      <c r="A35" s="95"/>
      <c r="B35" s="210" t="s">
        <v>289</v>
      </c>
      <c r="C35" s="233"/>
      <c r="D35" s="233"/>
      <c r="E35" s="233"/>
      <c r="F35" s="233"/>
      <c r="G35" s="233"/>
      <c r="H35" s="211"/>
      <c r="I35" s="210" t="s">
        <v>290</v>
      </c>
      <c r="J35" s="233"/>
      <c r="K35" s="233"/>
      <c r="L35" s="233"/>
      <c r="M35" s="211"/>
      <c r="N35" s="95"/>
      <c r="O35" s="95"/>
      <c r="P35" s="95"/>
      <c r="Q35" s="95"/>
      <c r="R35" s="95"/>
      <c r="S35" s="95"/>
      <c r="T35" s="95"/>
      <c r="Y35" s="99"/>
      <c r="Z35" s="201"/>
      <c r="AA35" s="201"/>
      <c r="AC35" s="142" t="s">
        <v>315</v>
      </c>
      <c r="AD35" s="142" t="s">
        <v>316</v>
      </c>
    </row>
    <row r="36" spans="1:30">
      <c r="A36" s="95"/>
      <c r="B36" s="143">
        <v>1</v>
      </c>
      <c r="C36" s="262"/>
      <c r="D36" s="262"/>
      <c r="E36" s="262"/>
      <c r="F36" s="262"/>
      <c r="G36" s="262"/>
      <c r="H36" s="263"/>
      <c r="I36" s="261"/>
      <c r="J36" s="262"/>
      <c r="K36" s="262"/>
      <c r="L36" s="262"/>
      <c r="M36" s="263"/>
      <c r="N36" s="95"/>
      <c r="O36" s="95"/>
      <c r="P36" s="95"/>
      <c r="Q36" s="95"/>
      <c r="R36" s="95"/>
      <c r="S36" s="95"/>
      <c r="T36" s="95"/>
      <c r="Y36" s="99"/>
      <c r="Z36" s="203"/>
      <c r="AA36" s="203"/>
      <c r="AC36" s="144">
        <f t="shared" ref="AC36:AC46" si="7">F36</f>
        <v>0</v>
      </c>
      <c r="AD36" s="144">
        <f>+L36</f>
        <v>0</v>
      </c>
    </row>
    <row r="37" spans="1:30">
      <c r="A37" s="95"/>
      <c r="B37" s="143">
        <v>2</v>
      </c>
      <c r="C37" s="262"/>
      <c r="D37" s="262"/>
      <c r="E37" s="262"/>
      <c r="F37" s="262"/>
      <c r="G37" s="262"/>
      <c r="H37" s="263"/>
      <c r="I37" s="261"/>
      <c r="J37" s="262"/>
      <c r="K37" s="262"/>
      <c r="L37" s="262"/>
      <c r="M37" s="263"/>
      <c r="N37" s="95"/>
      <c r="O37" s="95"/>
      <c r="P37" s="95"/>
      <c r="Q37" s="95"/>
      <c r="R37" s="95"/>
      <c r="S37" s="95"/>
      <c r="T37" s="95"/>
      <c r="Y37" s="99"/>
      <c r="Z37" s="203"/>
      <c r="AA37" s="203"/>
      <c r="AC37" s="144">
        <f t="shared" si="7"/>
        <v>0</v>
      </c>
      <c r="AD37" s="144">
        <f t="shared" ref="AD37:AD46" si="8">+L37</f>
        <v>0</v>
      </c>
    </row>
    <row r="38" spans="1:30">
      <c r="A38" s="95"/>
      <c r="B38" s="143">
        <v>3</v>
      </c>
      <c r="C38" s="262"/>
      <c r="D38" s="262"/>
      <c r="E38" s="262"/>
      <c r="F38" s="262"/>
      <c r="G38" s="262"/>
      <c r="H38" s="263"/>
      <c r="I38" s="261"/>
      <c r="J38" s="262"/>
      <c r="K38" s="262"/>
      <c r="L38" s="262"/>
      <c r="M38" s="263"/>
      <c r="N38" s="95"/>
      <c r="O38" s="95"/>
      <c r="P38" s="95"/>
      <c r="Q38" s="95"/>
      <c r="R38" s="95"/>
      <c r="S38" s="95"/>
      <c r="T38" s="95"/>
      <c r="Y38" s="99"/>
      <c r="Z38" s="203"/>
      <c r="AA38" s="203"/>
      <c r="AC38" s="144">
        <f t="shared" si="7"/>
        <v>0</v>
      </c>
      <c r="AD38" s="144">
        <f t="shared" si="8"/>
        <v>0</v>
      </c>
    </row>
    <row r="39" spans="1:30">
      <c r="A39" s="95"/>
      <c r="B39" s="143">
        <v>4</v>
      </c>
      <c r="C39" s="262"/>
      <c r="D39" s="262"/>
      <c r="E39" s="262"/>
      <c r="F39" s="262"/>
      <c r="G39" s="262"/>
      <c r="H39" s="263"/>
      <c r="I39" s="261"/>
      <c r="J39" s="262"/>
      <c r="K39" s="262"/>
      <c r="L39" s="262"/>
      <c r="M39" s="263"/>
      <c r="N39" s="95"/>
      <c r="O39" s="95"/>
      <c r="P39" s="95"/>
      <c r="Q39" s="95"/>
      <c r="R39" s="95"/>
      <c r="S39" s="95"/>
      <c r="T39" s="95"/>
      <c r="Y39" s="99"/>
      <c r="Z39" s="203"/>
      <c r="AA39" s="203"/>
      <c r="AC39" s="144">
        <f t="shared" si="7"/>
        <v>0</v>
      </c>
      <c r="AD39" s="144">
        <f t="shared" si="8"/>
        <v>0</v>
      </c>
    </row>
    <row r="40" spans="1:30">
      <c r="A40" s="95"/>
      <c r="B40" s="143">
        <v>5</v>
      </c>
      <c r="C40" s="262"/>
      <c r="D40" s="262"/>
      <c r="E40" s="262"/>
      <c r="F40" s="262"/>
      <c r="G40" s="262"/>
      <c r="H40" s="263"/>
      <c r="I40" s="261"/>
      <c r="J40" s="262"/>
      <c r="K40" s="262"/>
      <c r="L40" s="262"/>
      <c r="M40" s="263"/>
      <c r="N40" s="95"/>
      <c r="O40" s="95"/>
      <c r="P40" s="95"/>
      <c r="Q40" s="95"/>
      <c r="R40" s="95"/>
      <c r="S40" s="95"/>
      <c r="T40" s="95"/>
      <c r="Y40" s="99"/>
      <c r="Z40" s="203"/>
      <c r="AA40" s="203"/>
      <c r="AC40" s="144">
        <f t="shared" si="7"/>
        <v>0</v>
      </c>
      <c r="AD40" s="144">
        <f t="shared" si="8"/>
        <v>0</v>
      </c>
    </row>
    <row r="41" spans="1:30">
      <c r="A41" s="95"/>
      <c r="B41" s="143">
        <v>6</v>
      </c>
      <c r="C41" s="262"/>
      <c r="D41" s="262"/>
      <c r="E41" s="262"/>
      <c r="F41" s="262"/>
      <c r="G41" s="262"/>
      <c r="H41" s="263"/>
      <c r="I41" s="261"/>
      <c r="J41" s="262"/>
      <c r="K41" s="262"/>
      <c r="L41" s="262"/>
      <c r="M41" s="263"/>
      <c r="N41" s="95"/>
      <c r="O41" s="95"/>
      <c r="P41" s="95"/>
      <c r="Q41" s="95"/>
      <c r="R41" s="95"/>
      <c r="S41" s="95"/>
      <c r="T41" s="95"/>
      <c r="Y41" s="99"/>
      <c r="Z41" s="203"/>
      <c r="AA41" s="203"/>
      <c r="AC41" s="144">
        <f t="shared" si="7"/>
        <v>0</v>
      </c>
      <c r="AD41" s="144">
        <f t="shared" si="8"/>
        <v>0</v>
      </c>
    </row>
    <row r="42" spans="1:30">
      <c r="A42" s="95"/>
      <c r="B42" s="143">
        <v>7</v>
      </c>
      <c r="C42" s="262"/>
      <c r="D42" s="262"/>
      <c r="E42" s="262"/>
      <c r="F42" s="262"/>
      <c r="G42" s="262"/>
      <c r="H42" s="263"/>
      <c r="I42" s="261"/>
      <c r="J42" s="262"/>
      <c r="K42" s="262"/>
      <c r="L42" s="262"/>
      <c r="M42" s="263"/>
      <c r="N42" s="95"/>
      <c r="O42" s="95"/>
      <c r="P42" s="95"/>
      <c r="Q42" s="95"/>
      <c r="R42" s="95"/>
      <c r="S42" s="95"/>
      <c r="T42" s="95"/>
      <c r="Y42" s="99"/>
      <c r="Z42" s="203"/>
      <c r="AA42" s="203"/>
      <c r="AC42" s="144">
        <f t="shared" si="7"/>
        <v>0</v>
      </c>
      <c r="AD42" s="144">
        <f t="shared" si="8"/>
        <v>0</v>
      </c>
    </row>
    <row r="43" spans="1:30">
      <c r="A43" s="95"/>
      <c r="B43" s="143">
        <v>8</v>
      </c>
      <c r="C43" s="262"/>
      <c r="D43" s="262"/>
      <c r="E43" s="262"/>
      <c r="F43" s="262"/>
      <c r="G43" s="262"/>
      <c r="H43" s="263"/>
      <c r="I43" s="261"/>
      <c r="J43" s="262"/>
      <c r="K43" s="262"/>
      <c r="L43" s="262"/>
      <c r="M43" s="263"/>
      <c r="N43" s="95"/>
      <c r="O43" s="95"/>
      <c r="P43" s="95"/>
      <c r="Q43" s="95"/>
      <c r="R43" s="95"/>
      <c r="S43" s="95"/>
      <c r="T43" s="95"/>
      <c r="Y43" s="99"/>
      <c r="Z43" s="203"/>
      <c r="AA43" s="203"/>
      <c r="AC43" s="144">
        <f t="shared" si="7"/>
        <v>0</v>
      </c>
      <c r="AD43" s="144">
        <f t="shared" si="8"/>
        <v>0</v>
      </c>
    </row>
    <row r="44" spans="1:30">
      <c r="A44" s="95"/>
      <c r="B44" s="143">
        <v>9</v>
      </c>
      <c r="C44" s="262"/>
      <c r="D44" s="262"/>
      <c r="E44" s="262"/>
      <c r="F44" s="262"/>
      <c r="G44" s="262"/>
      <c r="H44" s="263"/>
      <c r="I44" s="261"/>
      <c r="J44" s="262"/>
      <c r="K44" s="262"/>
      <c r="L44" s="262"/>
      <c r="M44" s="263"/>
      <c r="N44" s="95"/>
      <c r="O44" s="95"/>
      <c r="P44" s="95"/>
      <c r="Q44" s="95"/>
      <c r="R44" s="95"/>
      <c r="S44" s="95"/>
      <c r="T44" s="95"/>
      <c r="Y44" s="99"/>
      <c r="Z44" s="203"/>
      <c r="AA44" s="203"/>
      <c r="AC44" s="144">
        <f t="shared" si="7"/>
        <v>0</v>
      </c>
      <c r="AD44" s="144">
        <f t="shared" si="8"/>
        <v>0</v>
      </c>
    </row>
    <row r="45" spans="1:30">
      <c r="A45" s="95"/>
      <c r="B45" s="143">
        <v>10</v>
      </c>
      <c r="C45" s="262"/>
      <c r="D45" s="262"/>
      <c r="E45" s="262"/>
      <c r="F45" s="262"/>
      <c r="G45" s="262"/>
      <c r="H45" s="263"/>
      <c r="I45" s="261"/>
      <c r="J45" s="262"/>
      <c r="K45" s="262"/>
      <c r="L45" s="262"/>
      <c r="M45" s="263"/>
      <c r="N45" s="95"/>
      <c r="O45" s="95"/>
      <c r="P45" s="95"/>
      <c r="Q45" s="95"/>
      <c r="R45" s="95"/>
      <c r="S45" s="95"/>
      <c r="T45" s="95"/>
      <c r="Y45" s="99"/>
      <c r="Z45" s="203"/>
      <c r="AA45" s="203"/>
      <c r="AC45" s="144">
        <f t="shared" si="7"/>
        <v>0</v>
      </c>
      <c r="AD45" s="144">
        <f t="shared" si="8"/>
        <v>0</v>
      </c>
    </row>
    <row r="46" spans="1:30">
      <c r="A46" s="95"/>
      <c r="B46" s="143">
        <v>11</v>
      </c>
      <c r="C46" s="262"/>
      <c r="D46" s="262"/>
      <c r="E46" s="262"/>
      <c r="F46" s="262"/>
      <c r="G46" s="262"/>
      <c r="H46" s="263"/>
      <c r="I46" s="261"/>
      <c r="J46" s="262"/>
      <c r="K46" s="262"/>
      <c r="L46" s="262"/>
      <c r="M46" s="263"/>
      <c r="N46" s="95"/>
      <c r="O46" s="95"/>
      <c r="P46" s="95"/>
      <c r="Q46" s="95"/>
      <c r="R46" s="95"/>
      <c r="S46" s="95"/>
      <c r="T46" s="95"/>
      <c r="Y46" s="99"/>
      <c r="Z46" s="203"/>
      <c r="AA46" s="203"/>
      <c r="AC46" s="145">
        <f t="shared" si="7"/>
        <v>0</v>
      </c>
      <c r="AD46" s="145">
        <f t="shared" si="8"/>
        <v>0</v>
      </c>
    </row>
    <row r="47" spans="1:30" ht="15">
      <c r="A47" s="95"/>
      <c r="B47" s="104"/>
      <c r="C47" s="95"/>
      <c r="D47" s="95"/>
      <c r="E47" s="95"/>
      <c r="F47" s="95"/>
      <c r="G47" s="95"/>
      <c r="H47" s="139"/>
      <c r="I47" s="95"/>
      <c r="J47" s="95"/>
      <c r="K47" s="95"/>
      <c r="L47" s="95"/>
      <c r="M47" s="104"/>
      <c r="N47" s="95"/>
      <c r="O47" s="95"/>
      <c r="P47" s="95"/>
      <c r="Q47" s="95"/>
      <c r="R47" s="95"/>
      <c r="S47" s="95"/>
      <c r="T47" s="95"/>
      <c r="Y47" s="99"/>
      <c r="Z47" s="203"/>
      <c r="AA47" s="203"/>
    </row>
    <row r="48" spans="1:30" ht="15">
      <c r="A48" s="95"/>
      <c r="B48" s="109" t="s">
        <v>162</v>
      </c>
      <c r="C48" s="101"/>
      <c r="D48" s="101"/>
      <c r="E48" s="101"/>
      <c r="F48" s="101"/>
      <c r="G48" s="95"/>
      <c r="H48" s="95"/>
      <c r="I48" s="95"/>
      <c r="J48" s="95"/>
      <c r="K48" s="95"/>
      <c r="L48" s="95"/>
      <c r="M48" s="95"/>
      <c r="N48" s="95"/>
      <c r="O48" s="146"/>
      <c r="P48" s="95"/>
      <c r="Q48" s="95"/>
      <c r="R48" s="95"/>
      <c r="S48" s="95"/>
      <c r="T48" s="95"/>
      <c r="Y48" s="99"/>
      <c r="Z48" s="99"/>
      <c r="AA48" s="99"/>
    </row>
    <row r="49" spans="1:32" ht="15" thickBot="1">
      <c r="A49" s="95"/>
      <c r="B49" s="95"/>
      <c r="C49" s="95"/>
      <c r="D49" s="95"/>
      <c r="E49" s="95"/>
      <c r="F49" s="95"/>
      <c r="G49" s="95"/>
      <c r="H49" s="95"/>
      <c r="I49" s="95"/>
      <c r="J49" s="95"/>
      <c r="K49" s="95"/>
      <c r="L49" s="95"/>
      <c r="M49" s="95"/>
      <c r="N49" s="95"/>
      <c r="O49" s="95"/>
      <c r="P49" s="95"/>
      <c r="Q49" s="95"/>
      <c r="R49" s="95"/>
      <c r="S49" s="95"/>
      <c r="T49" s="95"/>
      <c r="U49" s="93"/>
      <c r="Y49" s="99"/>
      <c r="Z49" s="99"/>
      <c r="AA49" s="99"/>
    </row>
    <row r="50" spans="1:32" ht="72.75" customHeight="1" thickBot="1">
      <c r="A50" s="95"/>
      <c r="B50" s="147" t="s">
        <v>63</v>
      </c>
      <c r="C50" s="147" t="s">
        <v>41</v>
      </c>
      <c r="D50" s="210" t="s">
        <v>291</v>
      </c>
      <c r="E50" s="233"/>
      <c r="F50" s="233"/>
      <c r="G50" s="233"/>
      <c r="H50" s="233"/>
      <c r="I50" s="233"/>
      <c r="J50" s="233"/>
      <c r="K50" s="210" t="str">
        <f>"Kosten pro Ladeinfrastruktur 
gemäß Angebot  "&amp;$T$5</f>
        <v xml:space="preserve">Kosten pro Ladeinfrastruktur 
gemäß Angebot  </v>
      </c>
      <c r="L50" s="211"/>
      <c r="M50" s="147" t="str">
        <f>"Kalkulierte Investitions-
mehrkosten "&amp;$T$5</f>
        <v xml:space="preserve">Kalkulierte Investitions-
mehrkosten </v>
      </c>
      <c r="N50" s="147" t="s">
        <v>110</v>
      </c>
      <c r="O50" s="147" t="s">
        <v>312</v>
      </c>
      <c r="P50" s="95"/>
      <c r="Q50" s="111"/>
      <c r="R50" s="95"/>
      <c r="S50" s="95"/>
      <c r="T50" s="95"/>
      <c r="U50" s="111"/>
      <c r="Y50" s="201"/>
      <c r="Z50" s="99"/>
      <c r="AA50" s="99"/>
      <c r="AB50" s="99"/>
      <c r="AC50" s="201"/>
      <c r="AD50" s="99"/>
      <c r="AF50" s="148" t="s">
        <v>288</v>
      </c>
    </row>
    <row r="51" spans="1:32">
      <c r="A51" s="95"/>
      <c r="B51" s="149">
        <v>1</v>
      </c>
      <c r="C51" s="64"/>
      <c r="D51" s="259"/>
      <c r="E51" s="260"/>
      <c r="F51" s="260"/>
      <c r="G51" s="260"/>
      <c r="H51" s="260"/>
      <c r="I51" s="260"/>
      <c r="J51" s="260"/>
      <c r="K51" s="257"/>
      <c r="L51" s="258"/>
      <c r="M51" s="150" t="str">
        <f>IFERROR(IF(AND(C51&lt;&gt;"",D51&lt;&gt;"",K51&lt;&gt;"",$N$3&lt;&gt;"bitte wählen",$N$5&lt;&gt;"bitte wählen"),+K51*C51,""),"")</f>
        <v/>
      </c>
      <c r="N51" s="151" t="str">
        <f>IF(M51&lt;&gt;"",IFERROR(VLOOKUP($N$3,DropDownMenüs!$F$10:$G$14,2,FALSE),""),"")</f>
        <v/>
      </c>
      <c r="O51" s="150" t="str">
        <f>IFERROR(ROUND(IF(N51&lt;&gt;"",M51*N51,""),0),"")</f>
        <v/>
      </c>
      <c r="P51" s="95"/>
      <c r="Q51" s="120"/>
      <c r="R51" s="95"/>
      <c r="S51" s="95"/>
      <c r="T51" s="95"/>
      <c r="U51" s="103"/>
      <c r="Y51" s="202"/>
      <c r="Z51" s="99"/>
      <c r="AA51" s="99"/>
      <c r="AB51" s="99"/>
      <c r="AC51" s="202"/>
      <c r="AD51" s="99"/>
      <c r="AE51" s="94">
        <v>1</v>
      </c>
      <c r="AF51" s="152">
        <f t="shared" ref="AF51:AF61" si="9">K51</f>
        <v>0</v>
      </c>
    </row>
    <row r="52" spans="1:32">
      <c r="A52" s="95"/>
      <c r="B52" s="149">
        <v>2</v>
      </c>
      <c r="C52" s="64"/>
      <c r="D52" s="259"/>
      <c r="E52" s="260"/>
      <c r="F52" s="260"/>
      <c r="G52" s="260"/>
      <c r="H52" s="260"/>
      <c r="I52" s="260"/>
      <c r="J52" s="260"/>
      <c r="K52" s="257"/>
      <c r="L52" s="258"/>
      <c r="M52" s="150" t="str">
        <f t="shared" ref="M52:M61" si="10">IFERROR(IF(AND(C52&lt;&gt;"",D52&lt;&gt;"",K52&lt;&gt;"",$N$3&lt;&gt;"bitte wählen",$N$5&lt;&gt;"bitte wählen"),+K52*C52,""),"")</f>
        <v/>
      </c>
      <c r="N52" s="151" t="str">
        <f>IF(M52&lt;&gt;"",IFERROR(VLOOKUP($N$3,DropDownMenüs!$F$10:$G$14,2,FALSE),""),"")</f>
        <v/>
      </c>
      <c r="O52" s="150" t="str">
        <f t="shared" ref="O52:O61" si="11">IFERROR(ROUND(IF(AND(+IFERROR(N52*M52,""),D52&lt;&gt;"",$N$5&lt;&gt;"nein"),N52*M52,IF(AND(+IFERROR(N52*M52,""),D52&lt;&gt;"",$N$5="nein"),N52*M52*1.19,"")),0),"")</f>
        <v/>
      </c>
      <c r="P52" s="95"/>
      <c r="Q52" s="120"/>
      <c r="R52" s="95"/>
      <c r="S52" s="95"/>
      <c r="T52" s="95"/>
      <c r="U52" s="103"/>
      <c r="Y52" s="202"/>
      <c r="Z52" s="99"/>
      <c r="AA52" s="99"/>
      <c r="AB52" s="99"/>
      <c r="AC52" s="202"/>
      <c r="AD52" s="99"/>
      <c r="AE52" s="94">
        <v>2</v>
      </c>
      <c r="AF52" s="152">
        <f t="shared" si="9"/>
        <v>0</v>
      </c>
    </row>
    <row r="53" spans="1:32">
      <c r="A53" s="95"/>
      <c r="B53" s="149">
        <v>3</v>
      </c>
      <c r="C53" s="64"/>
      <c r="D53" s="259"/>
      <c r="E53" s="260"/>
      <c r="F53" s="260"/>
      <c r="G53" s="260"/>
      <c r="H53" s="260"/>
      <c r="I53" s="260"/>
      <c r="J53" s="260"/>
      <c r="K53" s="257"/>
      <c r="L53" s="258"/>
      <c r="M53" s="150" t="str">
        <f t="shared" si="10"/>
        <v/>
      </c>
      <c r="N53" s="151" t="str">
        <f>IF(M53&lt;&gt;"",IFERROR(VLOOKUP($N$3,DropDownMenüs!$F$10:$G$14,2,FALSE),""),"")</f>
        <v/>
      </c>
      <c r="O53" s="150" t="str">
        <f t="shared" si="11"/>
        <v/>
      </c>
      <c r="P53" s="95"/>
      <c r="Q53" s="120"/>
      <c r="R53" s="95"/>
      <c r="S53" s="95"/>
      <c r="T53" s="95"/>
      <c r="U53" s="103"/>
      <c r="Y53" s="202"/>
      <c r="Z53" s="99"/>
      <c r="AA53" s="99"/>
      <c r="AB53" s="99"/>
      <c r="AC53" s="202"/>
      <c r="AD53" s="99"/>
      <c r="AE53" s="94">
        <v>3</v>
      </c>
      <c r="AF53" s="152">
        <f t="shared" si="9"/>
        <v>0</v>
      </c>
    </row>
    <row r="54" spans="1:32">
      <c r="A54" s="95"/>
      <c r="B54" s="149">
        <v>4</v>
      </c>
      <c r="C54" s="64"/>
      <c r="D54" s="259"/>
      <c r="E54" s="260"/>
      <c r="F54" s="260"/>
      <c r="G54" s="260"/>
      <c r="H54" s="260"/>
      <c r="I54" s="260"/>
      <c r="J54" s="260"/>
      <c r="K54" s="257"/>
      <c r="L54" s="258"/>
      <c r="M54" s="150" t="str">
        <f t="shared" si="10"/>
        <v/>
      </c>
      <c r="N54" s="151" t="str">
        <f>IF(M54&lt;&gt;"",IFERROR(VLOOKUP($N$3,DropDownMenüs!$F$10:$G$14,2,FALSE),""),"")</f>
        <v/>
      </c>
      <c r="O54" s="150" t="str">
        <f t="shared" si="11"/>
        <v/>
      </c>
      <c r="P54" s="95"/>
      <c r="Q54" s="120"/>
      <c r="R54" s="95"/>
      <c r="S54" s="95"/>
      <c r="T54" s="95"/>
      <c r="U54" s="103"/>
      <c r="Y54" s="202"/>
      <c r="Z54" s="99"/>
      <c r="AA54" s="99"/>
      <c r="AB54" s="99"/>
      <c r="AC54" s="202"/>
      <c r="AD54" s="99"/>
      <c r="AE54" s="94">
        <v>4</v>
      </c>
      <c r="AF54" s="152">
        <f t="shared" si="9"/>
        <v>0</v>
      </c>
    </row>
    <row r="55" spans="1:32">
      <c r="A55" s="95"/>
      <c r="B55" s="149">
        <v>5</v>
      </c>
      <c r="C55" s="64"/>
      <c r="D55" s="259"/>
      <c r="E55" s="260"/>
      <c r="F55" s="260"/>
      <c r="G55" s="260"/>
      <c r="H55" s="260"/>
      <c r="I55" s="260"/>
      <c r="J55" s="260"/>
      <c r="K55" s="257"/>
      <c r="L55" s="258"/>
      <c r="M55" s="150" t="str">
        <f t="shared" si="10"/>
        <v/>
      </c>
      <c r="N55" s="151" t="str">
        <f>IF(M55&lt;&gt;"",IFERROR(VLOOKUP($N$3,DropDownMenüs!$F$10:$G$14,2,FALSE),""),"")</f>
        <v/>
      </c>
      <c r="O55" s="150" t="str">
        <f t="shared" si="11"/>
        <v/>
      </c>
      <c r="P55" s="95"/>
      <c r="Q55" s="120"/>
      <c r="R55" s="95"/>
      <c r="S55" s="95"/>
      <c r="T55" s="95"/>
      <c r="U55" s="103"/>
      <c r="Y55" s="202"/>
      <c r="Z55" s="99"/>
      <c r="AA55" s="99"/>
      <c r="AB55" s="99"/>
      <c r="AC55" s="202"/>
      <c r="AD55" s="99"/>
      <c r="AE55" s="94">
        <v>5</v>
      </c>
      <c r="AF55" s="152">
        <f t="shared" si="9"/>
        <v>0</v>
      </c>
    </row>
    <row r="56" spans="1:32">
      <c r="A56" s="95"/>
      <c r="B56" s="149">
        <v>6</v>
      </c>
      <c r="C56" s="64"/>
      <c r="D56" s="259"/>
      <c r="E56" s="260"/>
      <c r="F56" s="260"/>
      <c r="G56" s="260"/>
      <c r="H56" s="260"/>
      <c r="I56" s="260"/>
      <c r="J56" s="260"/>
      <c r="K56" s="257"/>
      <c r="L56" s="258"/>
      <c r="M56" s="150" t="str">
        <f t="shared" si="10"/>
        <v/>
      </c>
      <c r="N56" s="151" t="str">
        <f>IF(M56&lt;&gt;"",IFERROR(VLOOKUP($N$3,DropDownMenüs!$F$10:$G$14,2,FALSE),""),"")</f>
        <v/>
      </c>
      <c r="O56" s="150" t="str">
        <f t="shared" si="11"/>
        <v/>
      </c>
      <c r="P56" s="95"/>
      <c r="Q56" s="120"/>
      <c r="R56" s="95"/>
      <c r="S56" s="95"/>
      <c r="T56" s="95"/>
      <c r="U56" s="103"/>
      <c r="Y56" s="202"/>
      <c r="Z56" s="99"/>
      <c r="AA56" s="99"/>
      <c r="AB56" s="99"/>
      <c r="AC56" s="202"/>
      <c r="AD56" s="99"/>
      <c r="AE56" s="94">
        <v>6</v>
      </c>
      <c r="AF56" s="152">
        <f t="shared" si="9"/>
        <v>0</v>
      </c>
    </row>
    <row r="57" spans="1:32">
      <c r="A57" s="95"/>
      <c r="B57" s="149">
        <v>7</v>
      </c>
      <c r="C57" s="64"/>
      <c r="D57" s="259"/>
      <c r="E57" s="260"/>
      <c r="F57" s="260"/>
      <c r="G57" s="260"/>
      <c r="H57" s="260"/>
      <c r="I57" s="260"/>
      <c r="J57" s="260"/>
      <c r="K57" s="257"/>
      <c r="L57" s="258"/>
      <c r="M57" s="150" t="str">
        <f t="shared" si="10"/>
        <v/>
      </c>
      <c r="N57" s="151" t="str">
        <f>IF(M57&lt;&gt;"",IFERROR(VLOOKUP($N$3,DropDownMenüs!$F$10:$G$14,2,FALSE),""),"")</f>
        <v/>
      </c>
      <c r="O57" s="150" t="str">
        <f t="shared" si="11"/>
        <v/>
      </c>
      <c r="P57" s="95"/>
      <c r="Q57" s="120"/>
      <c r="R57" s="95"/>
      <c r="S57" s="95"/>
      <c r="T57" s="95"/>
      <c r="U57" s="103"/>
      <c r="Y57" s="202"/>
      <c r="Z57" s="99"/>
      <c r="AA57" s="99"/>
      <c r="AB57" s="99"/>
      <c r="AC57" s="202"/>
      <c r="AD57" s="99"/>
      <c r="AE57" s="94">
        <v>7</v>
      </c>
      <c r="AF57" s="152">
        <f t="shared" si="9"/>
        <v>0</v>
      </c>
    </row>
    <row r="58" spans="1:32">
      <c r="A58" s="95"/>
      <c r="B58" s="149">
        <v>8</v>
      </c>
      <c r="C58" s="64"/>
      <c r="D58" s="259"/>
      <c r="E58" s="260"/>
      <c r="F58" s="260"/>
      <c r="G58" s="260"/>
      <c r="H58" s="260"/>
      <c r="I58" s="260"/>
      <c r="J58" s="260"/>
      <c r="K58" s="257"/>
      <c r="L58" s="258"/>
      <c r="M58" s="150" t="str">
        <f t="shared" si="10"/>
        <v/>
      </c>
      <c r="N58" s="151" t="str">
        <f>IF(M58&lt;&gt;"",IFERROR(VLOOKUP($N$3,DropDownMenüs!$F$10:$G$14,2,FALSE),""),"")</f>
        <v/>
      </c>
      <c r="O58" s="150" t="str">
        <f t="shared" si="11"/>
        <v/>
      </c>
      <c r="P58" s="95"/>
      <c r="Q58" s="120"/>
      <c r="R58" s="95"/>
      <c r="S58" s="95"/>
      <c r="T58" s="95"/>
      <c r="U58" s="103"/>
      <c r="Y58" s="202"/>
      <c r="Z58" s="99"/>
      <c r="AA58" s="99"/>
      <c r="AB58" s="99"/>
      <c r="AC58" s="202"/>
      <c r="AD58" s="99"/>
      <c r="AE58" s="94">
        <v>8</v>
      </c>
      <c r="AF58" s="152">
        <f t="shared" si="9"/>
        <v>0</v>
      </c>
    </row>
    <row r="59" spans="1:32">
      <c r="A59" s="95"/>
      <c r="B59" s="149">
        <v>9</v>
      </c>
      <c r="C59" s="64"/>
      <c r="D59" s="259"/>
      <c r="E59" s="260"/>
      <c r="F59" s="260"/>
      <c r="G59" s="260"/>
      <c r="H59" s="260"/>
      <c r="I59" s="260"/>
      <c r="J59" s="260"/>
      <c r="K59" s="257"/>
      <c r="L59" s="258"/>
      <c r="M59" s="150" t="str">
        <f t="shared" si="10"/>
        <v/>
      </c>
      <c r="N59" s="151" t="str">
        <f>IF(M59&lt;&gt;"",IFERROR(VLOOKUP($N$3,DropDownMenüs!$F$10:$G$14,2,FALSE),""),"")</f>
        <v/>
      </c>
      <c r="O59" s="150" t="str">
        <f t="shared" si="11"/>
        <v/>
      </c>
      <c r="P59" s="95"/>
      <c r="Q59" s="120"/>
      <c r="R59" s="95"/>
      <c r="S59" s="95"/>
      <c r="T59" s="95"/>
      <c r="U59" s="103"/>
      <c r="Y59" s="202"/>
      <c r="Z59" s="99"/>
      <c r="AA59" s="99"/>
      <c r="AB59" s="99"/>
      <c r="AC59" s="202"/>
      <c r="AD59" s="99"/>
      <c r="AE59" s="94">
        <v>9</v>
      </c>
      <c r="AF59" s="152">
        <f t="shared" si="9"/>
        <v>0</v>
      </c>
    </row>
    <row r="60" spans="1:32">
      <c r="A60" s="95"/>
      <c r="B60" s="149">
        <v>10</v>
      </c>
      <c r="C60" s="64"/>
      <c r="D60" s="259"/>
      <c r="E60" s="260"/>
      <c r="F60" s="260"/>
      <c r="G60" s="260"/>
      <c r="H60" s="260"/>
      <c r="I60" s="260"/>
      <c r="J60" s="260"/>
      <c r="K60" s="257"/>
      <c r="L60" s="258"/>
      <c r="M60" s="150" t="str">
        <f t="shared" si="10"/>
        <v/>
      </c>
      <c r="N60" s="151" t="str">
        <f>IF(M60&lt;&gt;"",IFERROR(VLOOKUP($N$3,DropDownMenüs!$F$10:$G$14,2,FALSE),""),"")</f>
        <v/>
      </c>
      <c r="O60" s="150" t="str">
        <f t="shared" si="11"/>
        <v/>
      </c>
      <c r="P60" s="95"/>
      <c r="Q60" s="120"/>
      <c r="R60" s="95"/>
      <c r="S60" s="95"/>
      <c r="T60" s="95"/>
      <c r="U60" s="103"/>
      <c r="Y60" s="202"/>
      <c r="Z60" s="99"/>
      <c r="AA60" s="99"/>
      <c r="AB60" s="99"/>
      <c r="AC60" s="202"/>
      <c r="AD60" s="99"/>
      <c r="AE60" s="94">
        <v>10</v>
      </c>
      <c r="AF60" s="152">
        <f t="shared" si="9"/>
        <v>0</v>
      </c>
    </row>
    <row r="61" spans="1:32" ht="15" thickBot="1">
      <c r="A61" s="95"/>
      <c r="B61" s="153">
        <v>11</v>
      </c>
      <c r="C61" s="65"/>
      <c r="D61" s="264"/>
      <c r="E61" s="265"/>
      <c r="F61" s="265"/>
      <c r="G61" s="265"/>
      <c r="H61" s="265"/>
      <c r="I61" s="265"/>
      <c r="J61" s="265"/>
      <c r="K61" s="266"/>
      <c r="L61" s="267"/>
      <c r="M61" s="150" t="str">
        <f t="shared" si="10"/>
        <v/>
      </c>
      <c r="N61" s="154" t="str">
        <f>IF(M61&lt;&gt;"",IFERROR(VLOOKUP($N$3,DropDownMenüs!$F$10:$G$14,2,FALSE),""),"")</f>
        <v/>
      </c>
      <c r="O61" s="150" t="str">
        <f t="shared" si="11"/>
        <v/>
      </c>
      <c r="P61" s="95"/>
      <c r="Q61" s="120"/>
      <c r="R61" s="95"/>
      <c r="S61" s="95"/>
      <c r="T61" s="95"/>
      <c r="U61" s="103"/>
      <c r="Y61" s="202"/>
      <c r="Z61" s="99"/>
      <c r="AA61" s="99"/>
      <c r="AB61" s="99"/>
      <c r="AC61" s="202"/>
      <c r="AD61" s="99"/>
      <c r="AE61" s="94">
        <v>11</v>
      </c>
      <c r="AF61" s="152">
        <f t="shared" si="9"/>
        <v>0</v>
      </c>
    </row>
    <row r="62" spans="1:32" ht="18.75" thickBot="1">
      <c r="A62" s="155"/>
      <c r="B62" s="129" t="s">
        <v>106</v>
      </c>
      <c r="C62" s="130">
        <f>+SUM(C51:C61)</f>
        <v>0</v>
      </c>
      <c r="D62" s="132"/>
      <c r="E62" s="132"/>
      <c r="F62" s="132"/>
      <c r="G62" s="132"/>
      <c r="H62" s="132"/>
      <c r="I62" s="132"/>
      <c r="J62" s="132"/>
      <c r="K62" s="132"/>
      <c r="L62" s="132"/>
      <c r="M62" s="134">
        <f>IFERROR(SUM(M51:M61),"")</f>
        <v>0</v>
      </c>
      <c r="N62" s="156" t="s">
        <v>119</v>
      </c>
      <c r="O62" s="134">
        <f>IFERROR(SUM(O51:O61),"")</f>
        <v>0</v>
      </c>
      <c r="P62" s="95"/>
      <c r="Q62" s="136"/>
      <c r="R62" s="95"/>
      <c r="S62" s="95"/>
      <c r="T62" s="95"/>
      <c r="U62" s="93"/>
    </row>
    <row r="63" spans="1:32" ht="15.75" thickTop="1">
      <c r="A63" s="95"/>
      <c r="B63" s="103"/>
      <c r="C63" s="103"/>
      <c r="D63" s="95"/>
      <c r="E63" s="95"/>
      <c r="F63" s="95"/>
      <c r="G63" s="95"/>
      <c r="H63" s="95"/>
      <c r="I63" s="95"/>
      <c r="J63" s="95"/>
      <c r="K63" s="95"/>
      <c r="L63" s="95"/>
      <c r="M63" s="95"/>
      <c r="N63" s="157"/>
      <c r="O63" s="158"/>
      <c r="P63" s="158"/>
      <c r="Q63" s="158"/>
      <c r="R63" s="95"/>
      <c r="S63" s="95"/>
      <c r="T63" s="95"/>
      <c r="U63" s="93"/>
    </row>
    <row r="64" spans="1:32" ht="15">
      <c r="A64" s="95"/>
      <c r="B64" s="109" t="s">
        <v>161</v>
      </c>
      <c r="C64" s="103"/>
      <c r="D64" s="95"/>
      <c r="E64" s="95"/>
      <c r="F64" s="95"/>
      <c r="G64" s="95"/>
      <c r="H64" s="95"/>
      <c r="I64" s="95"/>
      <c r="J64" s="95"/>
      <c r="K64" s="95"/>
      <c r="L64" s="95"/>
      <c r="M64" s="95"/>
      <c r="N64" s="157"/>
      <c r="O64" s="158"/>
      <c r="P64" s="158"/>
      <c r="Q64" s="158"/>
      <c r="R64" s="95"/>
      <c r="S64" s="95"/>
      <c r="T64" s="95"/>
      <c r="U64" s="93"/>
    </row>
    <row r="65" spans="1:21" ht="15">
      <c r="A65" s="95"/>
      <c r="B65" s="103"/>
      <c r="C65" s="103"/>
      <c r="D65" s="95"/>
      <c r="E65" s="95"/>
      <c r="F65" s="95"/>
      <c r="G65" s="95"/>
      <c r="H65" s="95"/>
      <c r="I65" s="95"/>
      <c r="J65" s="95"/>
      <c r="K65" s="95"/>
      <c r="L65" s="95"/>
      <c r="M65" s="95"/>
      <c r="N65" s="157"/>
      <c r="O65" s="158"/>
      <c r="P65" s="158"/>
      <c r="Q65" s="158"/>
      <c r="R65" s="95"/>
      <c r="S65" s="95"/>
      <c r="T65" s="95"/>
    </row>
    <row r="66" spans="1:21" ht="18">
      <c r="A66" s="95"/>
      <c r="B66" s="103"/>
      <c r="C66" s="103"/>
      <c r="D66" s="95"/>
      <c r="E66" s="95"/>
      <c r="F66" s="95"/>
      <c r="G66" s="95"/>
      <c r="H66" s="95"/>
      <c r="I66" s="95"/>
      <c r="J66" s="95"/>
      <c r="K66" s="95"/>
      <c r="L66" s="95"/>
      <c r="M66" s="95"/>
      <c r="N66" s="157" t="str">
        <f>"Voraussichtliche Kosten für die Installation der Ladeinfrastruktur gemäß Angebot "&amp;T5&amp;":"</f>
        <v>Voraussichtliche Kosten für die Installation der Ladeinfrastruktur gemäß Angebot :</v>
      </c>
      <c r="O66" s="66"/>
      <c r="P66" s="135" t="s">
        <v>119</v>
      </c>
      <c r="Q66" s="120"/>
      <c r="T66" s="135"/>
    </row>
    <row r="67" spans="1:21" ht="18.75" thickBot="1">
      <c r="A67" s="95"/>
      <c r="B67" s="95"/>
      <c r="C67" s="101"/>
      <c r="D67" s="95"/>
      <c r="E67" s="95"/>
      <c r="F67" s="95"/>
      <c r="G67" s="95"/>
      <c r="H67" s="95"/>
      <c r="I67" s="95"/>
      <c r="J67" s="95"/>
      <c r="K67" s="95"/>
      <c r="L67" s="95"/>
      <c r="M67" s="95"/>
      <c r="N67" s="157" t="s">
        <v>276</v>
      </c>
      <c r="O67" s="159">
        <f>IFERROR(IF(AND($N$3&lt;&gt;"bitte wählen",$N$5&lt;&gt;"bitte wählen"),ROUND(O66*O72,0),0),"")</f>
        <v>0</v>
      </c>
      <c r="P67" s="135"/>
      <c r="Q67" s="158"/>
      <c r="R67" s="95"/>
      <c r="S67" s="95"/>
      <c r="T67" s="95"/>
    </row>
    <row r="68" spans="1:21" ht="15.75" thickTop="1">
      <c r="A68" s="95"/>
      <c r="B68" s="95"/>
      <c r="C68" s="95"/>
      <c r="D68" s="95"/>
      <c r="E68" s="95"/>
      <c r="F68" s="95"/>
      <c r="G68" s="95"/>
      <c r="H68" s="95"/>
      <c r="I68" s="95"/>
      <c r="J68" s="95"/>
      <c r="K68" s="95"/>
      <c r="L68" s="95"/>
      <c r="M68" s="95"/>
      <c r="N68" s="157"/>
      <c r="O68" s="158"/>
      <c r="P68" s="158"/>
      <c r="Q68" s="158"/>
      <c r="R68" s="95"/>
      <c r="S68" s="95"/>
      <c r="T68" s="95"/>
    </row>
    <row r="69" spans="1:21" ht="15">
      <c r="A69" s="95"/>
      <c r="B69" s="104"/>
      <c r="C69" s="95"/>
      <c r="D69" s="95"/>
      <c r="E69" s="95"/>
      <c r="F69" s="95"/>
      <c r="G69" s="95"/>
      <c r="H69" s="95"/>
      <c r="J69" s="95"/>
      <c r="K69" s="95"/>
      <c r="L69" s="95"/>
      <c r="M69" s="95"/>
      <c r="N69" s="95"/>
      <c r="O69" s="95"/>
      <c r="P69" s="95"/>
      <c r="Q69" s="95"/>
      <c r="R69" s="95"/>
      <c r="S69" s="95"/>
      <c r="T69" s="95"/>
    </row>
    <row r="70" spans="1:21" ht="15">
      <c r="A70" s="95"/>
      <c r="B70" s="104"/>
      <c r="C70" s="95"/>
      <c r="D70" s="95"/>
      <c r="E70" s="95"/>
      <c r="F70" s="95"/>
      <c r="G70" s="95"/>
      <c r="H70" s="95"/>
      <c r="I70" s="160"/>
      <c r="J70" s="95"/>
      <c r="K70" s="95"/>
      <c r="L70" s="95"/>
      <c r="M70" s="95"/>
      <c r="N70" s="95"/>
      <c r="O70" s="95"/>
      <c r="P70" s="95"/>
      <c r="Q70" s="95"/>
      <c r="R70" s="95"/>
      <c r="S70" s="95"/>
      <c r="T70" s="95"/>
    </row>
    <row r="71" spans="1:21">
      <c r="A71" s="95"/>
      <c r="B71" s="95"/>
      <c r="C71" s="95"/>
      <c r="D71" s="95"/>
      <c r="E71" s="95"/>
      <c r="F71" s="95"/>
      <c r="G71" s="161"/>
      <c r="H71" s="161"/>
      <c r="I71" s="161"/>
      <c r="J71" s="161"/>
      <c r="K71" s="161"/>
      <c r="L71" s="161"/>
      <c r="M71" s="161"/>
      <c r="N71" s="160" t="s">
        <v>266</v>
      </c>
      <c r="O71" s="162" t="str">
        <f>IFERROR(IF(AND($N$3&lt;&gt;"bitte wählen",$N$5&lt;&gt;"bitte wählen"),M32+M62+O66,""),"")</f>
        <v/>
      </c>
      <c r="P71" s="163"/>
      <c r="Q71" s="163"/>
      <c r="R71" s="95"/>
      <c r="S71" s="95"/>
      <c r="T71" s="95"/>
      <c r="U71" s="101"/>
    </row>
    <row r="72" spans="1:21" ht="15">
      <c r="A72" s="95"/>
      <c r="B72" s="95"/>
      <c r="C72" s="95"/>
      <c r="D72" s="95"/>
      <c r="E72" s="95"/>
      <c r="F72" s="95"/>
      <c r="G72" s="161"/>
      <c r="H72" s="161"/>
      <c r="I72" s="161"/>
      <c r="J72" s="161"/>
      <c r="K72" s="161"/>
      <c r="L72" s="161"/>
      <c r="M72" s="161"/>
      <c r="N72" s="160" t="s">
        <v>277</v>
      </c>
      <c r="O72" s="164" t="str">
        <f>IFERROR(VLOOKUP($N$3,DropDownMenüs!$F$10:$G$14,2,FALSE),"")</f>
        <v>-</v>
      </c>
      <c r="P72" s="164"/>
      <c r="Q72" s="164"/>
      <c r="R72" s="95"/>
      <c r="S72" s="95"/>
      <c r="T72" s="95"/>
      <c r="U72" s="158"/>
    </row>
    <row r="73" spans="1:21" ht="18.75" thickBot="1">
      <c r="A73" s="95"/>
      <c r="B73" s="95"/>
      <c r="C73" s="95"/>
      <c r="D73" s="95"/>
      <c r="E73" s="95"/>
      <c r="F73" s="95"/>
      <c r="G73" s="165"/>
      <c r="H73" s="165"/>
      <c r="I73" s="165"/>
      <c r="J73" s="165"/>
      <c r="K73" s="165"/>
      <c r="L73" s="165"/>
      <c r="M73" s="165"/>
      <c r="N73" s="166" t="s">
        <v>278</v>
      </c>
      <c r="O73" s="167">
        <f>IFERROR($O$62+$O$32+$O$67,"")</f>
        <v>0</v>
      </c>
      <c r="P73" s="168"/>
      <c r="Q73" s="168"/>
      <c r="R73" s="95"/>
      <c r="S73" s="95"/>
      <c r="T73" s="95"/>
    </row>
    <row r="74" spans="1:21" ht="15" thickTop="1">
      <c r="A74" s="95"/>
      <c r="B74" s="95"/>
      <c r="C74" s="95"/>
      <c r="D74" s="95"/>
      <c r="E74" s="95"/>
      <c r="F74" s="95"/>
      <c r="G74" s="95"/>
      <c r="H74" s="95"/>
      <c r="I74" s="95"/>
      <c r="J74" s="95"/>
      <c r="K74" s="95"/>
      <c r="L74" s="95"/>
      <c r="M74" s="95"/>
      <c r="N74" s="95"/>
      <c r="O74" s="95"/>
      <c r="P74" s="95"/>
      <c r="Q74" s="95"/>
      <c r="R74" s="95"/>
      <c r="S74" s="95"/>
      <c r="T74" s="95"/>
    </row>
    <row r="75" spans="1:21">
      <c r="A75" s="95"/>
      <c r="B75" s="169" t="s">
        <v>119</v>
      </c>
      <c r="C75" s="170" t="s">
        <v>137</v>
      </c>
      <c r="D75" s="95"/>
      <c r="E75" s="95"/>
      <c r="F75" s="95"/>
      <c r="G75" s="95"/>
      <c r="H75" s="95"/>
      <c r="I75" s="95"/>
      <c r="J75" s="95"/>
      <c r="K75" s="95"/>
      <c r="L75" s="95"/>
      <c r="M75" s="95"/>
      <c r="N75" s="95"/>
      <c r="O75" s="95"/>
      <c r="P75" s="95"/>
      <c r="Q75" s="95"/>
      <c r="R75" s="95"/>
      <c r="S75" s="95"/>
      <c r="T75" s="95"/>
    </row>
    <row r="76" spans="1:21" ht="25.5" customHeight="1">
      <c r="A76" s="95"/>
      <c r="B76" s="169" t="s">
        <v>282</v>
      </c>
      <c r="C76" s="223" t="s">
        <v>331</v>
      </c>
      <c r="D76" s="223"/>
      <c r="E76" s="223"/>
      <c r="F76" s="223"/>
      <c r="G76" s="223"/>
      <c r="H76" s="223"/>
      <c r="I76" s="223"/>
      <c r="J76" s="223"/>
      <c r="K76" s="223"/>
      <c r="L76" s="223"/>
      <c r="M76" s="223"/>
      <c r="N76" s="223"/>
      <c r="O76" s="95"/>
      <c r="P76" s="95"/>
      <c r="Q76" s="95"/>
      <c r="R76" s="95"/>
      <c r="S76" s="95"/>
      <c r="T76" s="95"/>
    </row>
    <row r="77" spans="1:21">
      <c r="A77" s="95"/>
      <c r="B77" s="169"/>
      <c r="C77" s="171"/>
      <c r="D77" s="172"/>
      <c r="J77" s="95"/>
      <c r="K77" s="95"/>
      <c r="L77" s="95"/>
      <c r="M77" s="95"/>
      <c r="N77" s="95"/>
      <c r="O77" s="95"/>
      <c r="P77" s="95"/>
      <c r="Q77" s="95"/>
      <c r="R77" s="95"/>
      <c r="S77" s="95"/>
      <c r="T77" s="95"/>
    </row>
    <row r="78" spans="1:21">
      <c r="A78" s="93" t="s">
        <v>139</v>
      </c>
      <c r="B78" s="169"/>
      <c r="C78" s="171"/>
      <c r="D78" s="172"/>
      <c r="I78" s="93" t="s">
        <v>127</v>
      </c>
      <c r="O78" s="173" t="str">
        <f>+'V1 Pauschale Investitionsmehrk.'!M63</f>
        <v>Version 1.0</v>
      </c>
      <c r="P78" s="173"/>
      <c r="Q78" s="173"/>
    </row>
    <row r="79" spans="1:21" hidden="1"/>
  </sheetData>
  <sheetProtection password="F33B" sheet="1" objects="1" scenarios="1" selectLockedCells="1"/>
  <customSheetViews>
    <customSheetView guid="{41A31638-5241-47B1-A775-10C3959D1DD6}" scale="85" showPageBreaks="1" showGridLines="0" showRowCol="0" fitToPage="1" hiddenRows="1" hiddenColumns="1" view="pageLayout" showRuler="0" topLeftCell="A16">
      <selection activeCell="D7" sqref="D7:H7"/>
      <pageMargins left="0.25" right="0.25" top="0.75" bottom="0.75" header="0.3" footer="0.3"/>
      <pageSetup paperSize="9" scale="58" orientation="portrait" r:id="rId1"/>
      <headerFooter scaleWithDoc="0" alignWithMargins="0"/>
    </customSheetView>
  </customSheetViews>
  <mergeCells count="84">
    <mergeCell ref="Y19:Y20"/>
    <mergeCell ref="Z19:Z20"/>
    <mergeCell ref="C76:N76"/>
    <mergeCell ref="Q19:Q20"/>
    <mergeCell ref="C46:H46"/>
    <mergeCell ref="I36:M36"/>
    <mergeCell ref="I37:M37"/>
    <mergeCell ref="I38:M38"/>
    <mergeCell ref="I39:M39"/>
    <mergeCell ref="I40:M40"/>
    <mergeCell ref="I41:M41"/>
    <mergeCell ref="I42:M42"/>
    <mergeCell ref="I43:M43"/>
    <mergeCell ref="I44:M44"/>
    <mergeCell ref="I45:M45"/>
    <mergeCell ref="C40:H40"/>
    <mergeCell ref="C39:H39"/>
    <mergeCell ref="C38:H38"/>
    <mergeCell ref="C37:H37"/>
    <mergeCell ref="C36:H36"/>
    <mergeCell ref="C45:H45"/>
    <mergeCell ref="C44:H44"/>
    <mergeCell ref="C43:H43"/>
    <mergeCell ref="C42:H42"/>
    <mergeCell ref="C41:H41"/>
    <mergeCell ref="I46:M46"/>
    <mergeCell ref="I35:M35"/>
    <mergeCell ref="B35:H35"/>
    <mergeCell ref="D61:J61"/>
    <mergeCell ref="D60:J60"/>
    <mergeCell ref="D59:J59"/>
    <mergeCell ref="D58:J58"/>
    <mergeCell ref="D57:J57"/>
    <mergeCell ref="K61:L61"/>
    <mergeCell ref="K59:L59"/>
    <mergeCell ref="K60:L60"/>
    <mergeCell ref="K57:L57"/>
    <mergeCell ref="K58:L58"/>
    <mergeCell ref="K55:L55"/>
    <mergeCell ref="K56:L56"/>
    <mergeCell ref="D56:J56"/>
    <mergeCell ref="D55:J55"/>
    <mergeCell ref="K53:L53"/>
    <mergeCell ref="K54:L54"/>
    <mergeCell ref="D54:J54"/>
    <mergeCell ref="D53:J53"/>
    <mergeCell ref="K50:L50"/>
    <mergeCell ref="K51:L51"/>
    <mergeCell ref="K52:L52"/>
    <mergeCell ref="D52:J52"/>
    <mergeCell ref="D51:J51"/>
    <mergeCell ref="D50:J50"/>
    <mergeCell ref="D26:F26"/>
    <mergeCell ref="D25:F25"/>
    <mergeCell ref="D24:F24"/>
    <mergeCell ref="D23:F23"/>
    <mergeCell ref="D22:F22"/>
    <mergeCell ref="D31:F31"/>
    <mergeCell ref="D30:F30"/>
    <mergeCell ref="D29:F29"/>
    <mergeCell ref="D28:F28"/>
    <mergeCell ref="D27:F27"/>
    <mergeCell ref="D21:F21"/>
    <mergeCell ref="O19:O20"/>
    <mergeCell ref="N19:N20"/>
    <mergeCell ref="M19:M20"/>
    <mergeCell ref="L19:L20"/>
    <mergeCell ref="K19:K20"/>
    <mergeCell ref="H19:H20"/>
    <mergeCell ref="G19:G20"/>
    <mergeCell ref="D19:F20"/>
    <mergeCell ref="A1:R1"/>
    <mergeCell ref="V19:V20"/>
    <mergeCell ref="U19:U20"/>
    <mergeCell ref="T19:T20"/>
    <mergeCell ref="D9:I9"/>
    <mergeCell ref="N3:O3"/>
    <mergeCell ref="D8:I8"/>
    <mergeCell ref="D7:I7"/>
    <mergeCell ref="N5:O5"/>
    <mergeCell ref="B12:O15"/>
    <mergeCell ref="I19:J19"/>
    <mergeCell ref="C19:C20"/>
    <mergeCell ref="B19:B20"/>
  </mergeCells>
  <conditionalFormatting sqref="C62:C66">
    <cfRule type="cellIs" dxfId="7" priority="42" operator="greaterThan">
      <formula>$C$32</formula>
    </cfRule>
  </conditionalFormatting>
  <conditionalFormatting sqref="H21:H31">
    <cfRule type="expression" dxfId="6" priority="35">
      <formula>C21&lt;1</formula>
    </cfRule>
  </conditionalFormatting>
  <conditionalFormatting sqref="L21:L31">
    <cfRule type="expression" dxfId="5" priority="34">
      <formula>C21&lt;1</formula>
    </cfRule>
  </conditionalFormatting>
  <conditionalFormatting sqref="I21:I31">
    <cfRule type="expression" dxfId="4" priority="32">
      <formula>J21&gt;0</formula>
    </cfRule>
  </conditionalFormatting>
  <conditionalFormatting sqref="B35:M46">
    <cfRule type="expression" dxfId="3" priority="9">
      <formula>$W$32+$X$32=0</formula>
    </cfRule>
  </conditionalFormatting>
  <conditionalFormatting sqref="I36:M46">
    <cfRule type="expression" dxfId="2" priority="2">
      <formula>IF(AND($X21&gt;0,$I36=""),1,0)</formula>
    </cfRule>
  </conditionalFormatting>
  <conditionalFormatting sqref="C36:H46">
    <cfRule type="expression" dxfId="1" priority="1">
      <formula>IF(AND($W21&gt;0,$C36=""),1,0)</formula>
    </cfRule>
  </conditionalFormatting>
  <dataValidations xWindow="619" yWindow="844" count="14">
    <dataValidation type="whole" operator="greaterThanOrEqual" allowBlank="1" showInputMessage="1" showErrorMessage="1" sqref="C22:C31">
      <formula1>0</formula1>
    </dataValidation>
    <dataValidation type="decimal" operator="greaterThanOrEqual" allowBlank="1" showInputMessage="1" showErrorMessage="1" sqref="G22:G31">
      <formula1>0</formula1>
    </dataValidation>
    <dataValidation type="decimal" allowBlank="1" showInputMessage="1" showErrorMessage="1" sqref="K52:L61">
      <formula1>0</formula1>
      <formula2>1000000</formula2>
    </dataValidation>
    <dataValidation type="decimal" operator="lessThanOrEqual" allowBlank="1" showInputMessage="1" showErrorMessage="1" errorTitle="Achtung!" error="Die Kosten für das gewünschte Elektrofahrzeug sind niedriger als die Kosten des eingetragenen Referenzfahrzeugs._x000a_Bitte überprüfen Sie Ihre Eingaben!" sqref="K22:K31">
      <formula1>G22</formula1>
    </dataValidation>
    <dataValidation type="whole" operator="greaterThanOrEqual" allowBlank="1" showInputMessage="1" showErrorMessage="1" promptTitle="Hinweis" prompt="Pflichtfeld" sqref="C21">
      <formula1>0</formula1>
    </dataValidation>
    <dataValidation type="decimal" operator="greaterThanOrEqual" allowBlank="1" showInputMessage="1" showErrorMessage="1" promptTitle="Hinweis" prompt="Pflichtfeld" sqref="G21">
      <formula1>0</formula1>
    </dataValidation>
    <dataValidation type="decimal" operator="lessThanOrEqual" allowBlank="1" showInputMessage="1" showErrorMessage="1" errorTitle="Achtung!" error="Die Kosten für das gewünschte Elektrofahrzeug sind niedriger als die Kosten des eingetragenen Referenzfahrzeugs._x000a_Bitte überprüfen Sie Ihre Eingaben!" promptTitle="Hinweis" prompt="Pflichtfeld" sqref="K21">
      <formula1>G21</formula1>
    </dataValidation>
    <dataValidation allowBlank="1" showInputMessage="1" showErrorMessage="1" promptTitle="Hinweis" prompt="Pflichtfeld" sqref="D51:J51 O66 D7:I9"/>
    <dataValidation type="decimal" allowBlank="1" showInputMessage="1" showErrorMessage="1" promptTitle="Hinweis" prompt="Pflichtfeld" sqref="K51:L51">
      <formula1>0</formula1>
      <formula2>1000000</formula2>
    </dataValidation>
    <dataValidation allowBlank="1" showInputMessage="1" showErrorMessage="1" promptTitle="Hinweis" prompt="TT.MM.YYYY" sqref="E3:E5"/>
    <dataValidation type="whole" errorStyle="warning" allowBlank="1" showInputMessage="1" showErrorMessage="1" errorTitle="Hinweis" error="Bitte beachten Sie, " sqref="C62">
      <formula1>0</formula1>
      <formula2>C32</formula2>
    </dataValidation>
    <dataValidation type="custom" errorStyle="warning" operator="lessThanOrEqual" allowBlank="1" showInputMessage="1" showErrorMessage="1" errorTitle="Hinweis!" error="Die Gesamtanzahl der Ladeinfrastruktur übersteigt die Anzahl der aufgeführten Fahrzeuge. Bitte reduzieren Sie ggf. die Anzal der Ladeinfrastruktur, bzw. begründen Sie dies im Falle einer Aufforderung zur Antragseinreichung." promptTitle="Hinweis" prompt="Pflichtfeld" sqref="C51">
      <formula1>$C$62&lt;=$C$32</formula1>
    </dataValidation>
    <dataValidation type="custom" errorStyle="warning" operator="lessThanOrEqual" allowBlank="1" showInputMessage="1" showErrorMessage="1" errorTitle="Hinweis!" error="Die Gesamtanzahl der Ladeinfrastruktur übersteigt die Anzahl der aufgeführten Fahrzeuge. Bitte reduzieren Sie ggf. die Anzal der Ladeinfrastruktur, bzw. begründen Sie dies im Falle einer Aufforderung zur Antragseinreichung." sqref="C52:C61">
      <formula1>$C$62&lt;=$C$32</formula1>
    </dataValidation>
    <dataValidation type="custom" errorStyle="information" allowBlank="1" showInputMessage="1" showErrorMessage="1" errorTitle="Hinweis!" error="Sie haben ein eigenes Referenzfahrzeug definiert._x000a_Bitte begründen Sie Ihre Auswahl in dem entsprechenden Feld." sqref="I21:I31">
      <formula1>IFERROR(VLOOKUP(D23,$C$8:$L$78,4,FALSE),"")</formula1>
    </dataValidation>
  </dataValidations>
  <pageMargins left="0.23622047244094491" right="0.23622047244094491" top="0.74803149606299213" bottom="0.74803149606299213" header="0" footer="0"/>
  <pageSetup paperSize="9" scale="69" fitToHeight="0" orientation="landscape" r:id="rId2"/>
  <headerFooter scaleWithDoc="0" alignWithMargins="0">
    <oddFooter>&amp;RSeite &amp;P von &amp;N</oddFooter>
  </headerFooter>
  <rowBreaks count="2" manualBreakCount="2">
    <brk id="34" max="16383" man="1"/>
    <brk id="46" max="16383" man="1"/>
  </rowBreaks>
  <ignoredErrors>
    <ignoredError sqref="I21:I31" unlockedFormula="1"/>
  </ignoredErrors>
  <drawing r:id="rId3"/>
  <extLst>
    <ext xmlns:x14="http://schemas.microsoft.com/office/spreadsheetml/2009/9/main" uri="{CCE6A557-97BC-4b89-ADB6-D9C93CAAB3DF}">
      <x14:dataValidations xmlns:xm="http://schemas.microsoft.com/office/excel/2006/main" xWindow="619" yWindow="844" count="10">
        <x14:dataValidation type="list" operator="greaterThanOrEqual" allowBlank="1" showInputMessage="1" showErrorMessage="1">
          <x14:formula1>
            <xm:f>DropDownMenüs!$I$10:$I$12</xm:f>
          </x14:formula1>
          <xm:sqref>H22:H31</xm:sqref>
        </x14:dataValidation>
        <x14:dataValidation type="list" allowBlank="1" showInputMessage="1" showErrorMessage="1">
          <x14:formula1>
            <xm:f>DropDownMenüs!$I$14:$I$16</xm:f>
          </x14:formula1>
          <xm:sqref>L22:L31</xm:sqref>
        </x14:dataValidation>
        <x14:dataValidation type="list" errorStyle="information" allowBlank="1" showInputMessage="1" showErrorMessage="1" errorTitle="Hinweis!" error="Sie haben ein E-Fahrzeug abweichend der Vorgaben gewählt._x000a_Bitte begründen Sie in dem entsprechenden Feld Ihre Auswahl und tragen ein Referenzfahrzeug mit entsprechender Begründung ein._x000a__x000a_">
          <x14:formula1>
            <xm:f>Referenzmodelle!$C$8:$C$80</xm:f>
          </x14:formula1>
          <xm:sqref>D22:F31</xm:sqref>
        </x14:dataValidation>
        <x14:dataValidation type="list" errorStyle="information" allowBlank="1" showInputMessage="1" showErrorMessage="1" errorTitle="Hinweis!" error="Sie haben ein E-Fahrzeug abweichend der Vorgaben gewählt._x000a_Bitte begründen Sie in dem entsprechenden Feld Ihre Auswahl und tragen ein Referenzfahrzeug mit entsprechender Begründung ein._x000a__x000a_" promptTitle="Hinweis:" prompt="Wählen Sie eines der Fahrzeuge aus der Liste aus._x000a_Sollte das gewünschte Fahrzeug nicht in der Liste enthalten sein, können Sie das gewünschte Fahrzeug eigenhändig eintragen._x000a_Eine Abweichung von den vorgeschlagenen Fzg. ist nachvollziehbar zu begründen!">
          <x14:formula1>
            <xm:f>Referenzmodelle!$C$8:$C$80</xm:f>
          </x14:formula1>
          <xm:sqref>D21:F21</xm:sqref>
        </x14:dataValidation>
        <x14:dataValidation type="list" allowBlank="1" showInputMessage="1" showErrorMessage="1" promptTitle="Hinweis:" prompt="Werden Sie voraussichtlich den Umweltbonus in Anspruch nehmen?_x000a_Wenn ja, wird dieser bei den voraussichtlichen Investitionsmehrkosten berücksichtigt.">
          <x14:formula1>
            <xm:f>DropDownMenüs!$I$14:$I$16</xm:f>
          </x14:formula1>
          <xm:sqref>L21</xm:sqref>
        </x14:dataValidation>
        <x14:dataValidation type="list" operator="greaterThanOrEqual" allowBlank="1" showInputMessage="1" showErrorMessage="1" promptTitle="Hinweis" prompt="Pflichtfeld">
          <x14:formula1>
            <xm:f>DropDownMenüs!$I$10:$I$12</xm:f>
          </x14:formula1>
          <xm:sqref>H21</xm:sqref>
        </x14:dataValidation>
        <x14:dataValidation type="list" allowBlank="1" showInputMessage="1" showErrorMessage="1" promptTitle="Hinweis" prompt="Pflichtfeld">
          <x14:formula1>
            <xm:f>DropDownMenüs!$F$10:$F$13</xm:f>
          </x14:formula1>
          <xm:sqref>N3:O3</xm:sqref>
        </x14:dataValidation>
        <x14:dataValidation type="list" allowBlank="1" showInputMessage="1" showErrorMessage="1" promptTitle="Hinweis" prompt="Pflichtfeld">
          <x14:formula1>
            <xm:f>DropDownMenüs!$I$14:$I$16</xm:f>
          </x14:formula1>
          <xm:sqref>N5:O5</xm:sqref>
        </x14:dataValidation>
        <x14:dataValidation type="custom" errorStyle="information" allowBlank="1" showInputMessage="1" showErrorMessage="1" errorTitle="Hinweis!" error="Sie haben ein eigenes Referenzfahrzeug definiert._x000a_Bitte begründen Sie Ihre Auswahl in dem entsprechenden Feld.">
          <x14:formula1>
            <xm:f>IFERROR(VLOOKUP(E24,Referenzmodelle!$C$8:$N$80,4,FALSE),"")</xm:f>
          </x14:formula1>
          <xm:sqref>J22:J31</xm:sqref>
        </x14:dataValidation>
        <x14:dataValidation type="custom" errorStyle="information" allowBlank="1" showInputMessage="1" showErrorMessage="1" errorTitle="Hinweis!" error="Sie haben ein eigenes Referenzfahrzeug definiert._x000a_Bitte begründen Sie Ihre Auswahl in dem entsprechenden Feld." promptTitle="Hinweis:" prompt="Sollte das vorausgewählte Referenzfahrzeug in Ihrem Fall nicht zutreffen, können Sie in dieser Spalte das zutreffendere Referenzfahrzeug eintragen._x000a_Eine Abweichung von der Vorauswahl ist nachvollziehbar zu begründen!">
          <x14:formula1>
            <xm:f>VLOOKUP(E21,Referenzmodelle!$C$8:$N$80,4,FALSE)</xm:f>
          </x14:formula1>
          <xm:sqref>J21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7"/>
  <sheetViews>
    <sheetView topLeftCell="D1" zoomScaleNormal="100" workbookViewId="0">
      <selection activeCell="D21" sqref="D21"/>
    </sheetView>
  </sheetViews>
  <sheetFormatPr baseColWidth="10" defaultColWidth="11" defaultRowHeight="15" zeroHeight="1"/>
  <cols>
    <col min="1" max="1" width="4.875" style="1" customWidth="1"/>
    <col min="2" max="2" width="24" customWidth="1"/>
    <col min="3" max="3" width="43.125" customWidth="1"/>
    <col min="4" max="4" width="9.625" bestFit="1" customWidth="1"/>
    <col min="5" max="5" width="17.375" customWidth="1"/>
    <col min="6" max="6" width="43.125" customWidth="1"/>
    <col min="7" max="7" width="17.375" customWidth="1"/>
    <col min="8" max="14" width="12.625" customWidth="1"/>
    <col min="15" max="15" width="17.875" style="40" customWidth="1"/>
    <col min="16" max="24" width="11" customWidth="1"/>
  </cols>
  <sheetData>
    <row r="1" spans="2:18">
      <c r="B1" s="1"/>
      <c r="C1" s="1"/>
      <c r="D1" s="1"/>
      <c r="E1" s="1"/>
      <c r="F1" s="1"/>
      <c r="G1" s="1"/>
      <c r="H1" s="1"/>
      <c r="I1" s="1"/>
      <c r="J1" s="1"/>
      <c r="K1" s="1"/>
      <c r="L1" s="1"/>
      <c r="M1" s="1"/>
      <c r="N1" s="1"/>
      <c r="O1" s="38"/>
    </row>
    <row r="2" spans="2:18">
      <c r="B2" s="1"/>
      <c r="C2" s="1"/>
      <c r="D2" s="1"/>
      <c r="E2" s="1"/>
      <c r="F2" s="1"/>
      <c r="G2" s="1"/>
      <c r="H2" s="1"/>
      <c r="I2" s="1"/>
      <c r="J2" s="1"/>
      <c r="K2" s="1"/>
      <c r="L2" s="1"/>
      <c r="M2" s="1"/>
      <c r="N2" s="1"/>
      <c r="O2" s="38"/>
    </row>
    <row r="3" spans="2:18">
      <c r="B3" s="1"/>
      <c r="C3" s="1"/>
      <c r="D3" s="1"/>
      <c r="E3" s="1"/>
      <c r="F3" s="1"/>
      <c r="G3" s="24"/>
      <c r="H3" s="25" t="s">
        <v>60</v>
      </c>
      <c r="I3" s="26">
        <v>0</v>
      </c>
      <c r="J3" s="26"/>
      <c r="K3" s="26"/>
      <c r="L3" s="26"/>
      <c r="M3" s="26"/>
      <c r="N3" s="26"/>
      <c r="O3" s="38"/>
    </row>
    <row r="4" spans="2:18" ht="20.25">
      <c r="B4" s="9" t="s">
        <v>37</v>
      </c>
      <c r="C4" s="1"/>
      <c r="D4" s="9"/>
      <c r="E4" s="1"/>
      <c r="F4" s="1"/>
      <c r="G4" s="1"/>
      <c r="H4" s="25" t="s">
        <v>163</v>
      </c>
      <c r="I4" s="48">
        <v>10000</v>
      </c>
      <c r="J4" s="48"/>
      <c r="K4" s="48"/>
      <c r="L4" s="48"/>
      <c r="M4" s="48"/>
      <c r="N4" s="48"/>
      <c r="O4" s="38"/>
    </row>
    <row r="5" spans="2:18">
      <c r="B5" s="9" t="s">
        <v>38</v>
      </c>
      <c r="C5" s="1"/>
      <c r="D5" s="9"/>
      <c r="E5" s="1"/>
      <c r="F5" s="1"/>
      <c r="G5" s="1"/>
      <c r="H5" s="23"/>
      <c r="I5" s="22" t="s">
        <v>265</v>
      </c>
      <c r="J5" s="22"/>
      <c r="K5" s="22"/>
      <c r="L5" s="22"/>
      <c r="M5" s="22"/>
      <c r="N5" s="22"/>
      <c r="O5" s="38"/>
    </row>
    <row r="6" spans="2:18" ht="15.75" thickBot="1">
      <c r="B6" s="1"/>
      <c r="C6" s="1"/>
      <c r="D6" s="1"/>
      <c r="E6" s="1"/>
      <c r="F6" s="1"/>
      <c r="G6" s="1"/>
      <c r="H6" s="1"/>
      <c r="I6" s="90">
        <v>7</v>
      </c>
      <c r="J6" s="90">
        <v>8</v>
      </c>
      <c r="K6" s="90"/>
      <c r="L6" s="90">
        <v>10</v>
      </c>
      <c r="M6" s="90">
        <v>11</v>
      </c>
      <c r="N6" s="1"/>
      <c r="O6" s="38"/>
    </row>
    <row r="7" spans="2:18" ht="90">
      <c r="B7" s="2" t="s">
        <v>3</v>
      </c>
      <c r="C7" s="5" t="s">
        <v>0</v>
      </c>
      <c r="D7" s="39" t="s">
        <v>70</v>
      </c>
      <c r="E7" s="6" t="s">
        <v>1</v>
      </c>
      <c r="F7" s="5" t="s">
        <v>2</v>
      </c>
      <c r="G7" s="52" t="s">
        <v>39</v>
      </c>
      <c r="H7" s="5" t="s">
        <v>302</v>
      </c>
      <c r="I7" s="57" t="s">
        <v>303</v>
      </c>
      <c r="J7" s="57" t="s">
        <v>304</v>
      </c>
      <c r="K7" s="5" t="s">
        <v>305</v>
      </c>
      <c r="L7" s="57" t="s">
        <v>306</v>
      </c>
      <c r="M7" s="57" t="s">
        <v>307</v>
      </c>
      <c r="N7" s="8" t="s">
        <v>274</v>
      </c>
      <c r="O7" s="38"/>
    </row>
    <row r="8" spans="2:18">
      <c r="B8" s="60"/>
      <c r="C8" s="61" t="s">
        <v>293</v>
      </c>
      <c r="D8" s="62"/>
      <c r="O8" s="41"/>
      <c r="P8" s="33"/>
    </row>
    <row r="9" spans="2:18">
      <c r="B9" s="3" t="s">
        <v>7</v>
      </c>
      <c r="C9" s="10" t="s">
        <v>26</v>
      </c>
      <c r="D9" s="49" t="s">
        <v>272</v>
      </c>
      <c r="E9" s="27">
        <v>31848.74</v>
      </c>
      <c r="F9" s="12" t="s">
        <v>224</v>
      </c>
      <c r="G9" s="53">
        <v>22352.94</v>
      </c>
      <c r="H9" s="92">
        <f>+E9-G9</f>
        <v>9495.8000000000029</v>
      </c>
      <c r="I9" s="56">
        <f>+ROUND(H9*(1-$I$3),-2)</f>
        <v>9500</v>
      </c>
      <c r="J9" s="56">
        <f>IF(I9-N9&gt;0,I9-N9,0)</f>
        <v>6500</v>
      </c>
      <c r="K9" s="88">
        <f>H9*1.19</f>
        <v>11300.002000000002</v>
      </c>
      <c r="L9" s="56">
        <f>+ROUND(K9*(1-$I$3),-2)</f>
        <v>11300</v>
      </c>
      <c r="M9" s="56">
        <f>IF(E9-N9-G9&gt;0,ROUND((E9-N9-G9)*1.19*(1-$I$3),-2),0)</f>
        <v>7700</v>
      </c>
      <c r="N9" s="14">
        <f>IF(E9&gt;60000,0,VLOOKUP(D9,DropDownMenüs!$I$11:J12,2,FALSE))</f>
        <v>3000</v>
      </c>
      <c r="O9" s="41"/>
      <c r="P9" s="33"/>
      <c r="Q9" s="33"/>
    </row>
    <row r="10" spans="2:18">
      <c r="B10" s="3" t="s">
        <v>7</v>
      </c>
      <c r="C10" s="10" t="s">
        <v>31</v>
      </c>
      <c r="D10" s="49" t="s">
        <v>272</v>
      </c>
      <c r="E10" s="27">
        <v>32899.160000000003</v>
      </c>
      <c r="F10" s="12" t="s">
        <v>225</v>
      </c>
      <c r="G10" s="53">
        <v>27268.91</v>
      </c>
      <c r="H10" s="13">
        <f t="shared" ref="H10:H40" si="0">+E10-G10</f>
        <v>5630.2500000000036</v>
      </c>
      <c r="I10" s="56">
        <f t="shared" ref="I10:I73" si="1">+ROUND(H10*(1-$I$3),-2)</f>
        <v>5600</v>
      </c>
      <c r="J10" s="56">
        <f t="shared" ref="J10:J73" si="2">IF(I10-N10&gt;0,I10-N10,0)</f>
        <v>2600</v>
      </c>
      <c r="K10" s="88">
        <f t="shared" ref="K10:K73" si="3">H10*1.19</f>
        <v>6699.997500000004</v>
      </c>
      <c r="L10" s="56">
        <f t="shared" ref="L10:L73" si="4">+ROUND(K10*(1-$I$3),-2)</f>
        <v>6700</v>
      </c>
      <c r="M10" s="56">
        <f t="shared" ref="M10:M73" si="5">IF(E10-N10-G10&gt;0,ROUND((E10-N10-G10)*1.19*(1-$I$3),-2),0)</f>
        <v>3100</v>
      </c>
      <c r="N10" s="14">
        <f>IF(E10&gt;60000,0,VLOOKUP(D10,DropDownMenüs!$I$11:J13,2,FALSE))</f>
        <v>3000</v>
      </c>
      <c r="O10" s="41"/>
      <c r="P10" s="33"/>
      <c r="Q10" s="33"/>
    </row>
    <row r="11" spans="2:18">
      <c r="B11" s="3" t="s">
        <v>8</v>
      </c>
      <c r="C11" s="10" t="s">
        <v>166</v>
      </c>
      <c r="D11" s="49" t="s">
        <v>272</v>
      </c>
      <c r="E11" s="27">
        <v>38361.339999999997</v>
      </c>
      <c r="F11" s="12" t="s">
        <v>226</v>
      </c>
      <c r="G11" s="53">
        <v>31302.52</v>
      </c>
      <c r="H11" s="13">
        <f t="shared" si="0"/>
        <v>7058.8199999999961</v>
      </c>
      <c r="I11" s="56">
        <f t="shared" si="1"/>
        <v>7100</v>
      </c>
      <c r="J11" s="56">
        <f t="shared" si="2"/>
        <v>4100</v>
      </c>
      <c r="K11" s="88">
        <f t="shared" si="3"/>
        <v>8399.9957999999951</v>
      </c>
      <c r="L11" s="56">
        <f t="shared" si="4"/>
        <v>8400</v>
      </c>
      <c r="M11" s="56">
        <f t="shared" si="5"/>
        <v>4800</v>
      </c>
      <c r="N11" s="14">
        <f>IF(E11&gt;60000,0,VLOOKUP(D11,DropDownMenüs!$I$11:J14,2,FALSE))</f>
        <v>3000</v>
      </c>
      <c r="O11" s="41"/>
      <c r="P11" s="33"/>
      <c r="Q11" s="33"/>
    </row>
    <row r="12" spans="2:18">
      <c r="B12" s="3" t="s">
        <v>9</v>
      </c>
      <c r="C12" s="10" t="s">
        <v>167</v>
      </c>
      <c r="D12" s="49" t="s">
        <v>272</v>
      </c>
      <c r="E12" s="27">
        <v>45042.02</v>
      </c>
      <c r="F12" s="12" t="s">
        <v>227</v>
      </c>
      <c r="G12" s="53">
        <v>39159.660000000003</v>
      </c>
      <c r="H12" s="13">
        <f t="shared" si="0"/>
        <v>5882.3599999999933</v>
      </c>
      <c r="I12" s="56">
        <f t="shared" si="1"/>
        <v>5900</v>
      </c>
      <c r="J12" s="56">
        <f t="shared" si="2"/>
        <v>2900</v>
      </c>
      <c r="K12" s="88">
        <f t="shared" si="3"/>
        <v>7000.0083999999915</v>
      </c>
      <c r="L12" s="56">
        <f t="shared" si="4"/>
        <v>7000</v>
      </c>
      <c r="M12" s="56">
        <f t="shared" si="5"/>
        <v>3400</v>
      </c>
      <c r="N12" s="14">
        <f>IF(E12&gt;60000,0,VLOOKUP(D12,DropDownMenüs!$I$11:J15,2,FALSE))</f>
        <v>3000</v>
      </c>
      <c r="O12" s="41"/>
      <c r="P12" s="33"/>
      <c r="Q12" s="33"/>
      <c r="R12" s="91"/>
    </row>
    <row r="13" spans="2:18">
      <c r="B13" s="3" t="s">
        <v>10</v>
      </c>
      <c r="C13" s="10" t="s">
        <v>168</v>
      </c>
      <c r="D13" s="49" t="s">
        <v>272</v>
      </c>
      <c r="E13" s="27">
        <v>80336.13</v>
      </c>
      <c r="F13" s="12" t="s">
        <v>228</v>
      </c>
      <c r="G13" s="53">
        <v>77310.92</v>
      </c>
      <c r="H13" s="13">
        <f t="shared" si="0"/>
        <v>3025.2100000000064</v>
      </c>
      <c r="I13" s="56">
        <f t="shared" si="1"/>
        <v>3000</v>
      </c>
      <c r="J13" s="56">
        <f t="shared" si="2"/>
        <v>3000</v>
      </c>
      <c r="K13" s="88">
        <f t="shared" si="3"/>
        <v>3599.9999000000075</v>
      </c>
      <c r="L13" s="56">
        <f t="shared" si="4"/>
        <v>3600</v>
      </c>
      <c r="M13" s="56">
        <f t="shared" si="5"/>
        <v>3600</v>
      </c>
      <c r="N13" s="14">
        <f>IF(E13&gt;60000,0,VLOOKUP(D13,DropDownMenüs!$I$11:J16,2,FALSE))</f>
        <v>0</v>
      </c>
      <c r="O13" s="41"/>
      <c r="P13" s="33"/>
      <c r="Q13" s="33"/>
    </row>
    <row r="14" spans="2:18">
      <c r="B14" s="3" t="s">
        <v>7</v>
      </c>
      <c r="C14" s="10" t="s">
        <v>169</v>
      </c>
      <c r="D14" s="49" t="s">
        <v>273</v>
      </c>
      <c r="E14" s="27">
        <v>31554.62</v>
      </c>
      <c r="F14" s="12" t="s">
        <v>115</v>
      </c>
      <c r="G14" s="53">
        <v>22352.94</v>
      </c>
      <c r="H14" s="13">
        <f t="shared" si="0"/>
        <v>9201.68</v>
      </c>
      <c r="I14" s="56">
        <f t="shared" si="1"/>
        <v>9200</v>
      </c>
      <c r="J14" s="56">
        <f t="shared" si="2"/>
        <v>5200</v>
      </c>
      <c r="K14" s="88">
        <f t="shared" si="3"/>
        <v>10949.9992</v>
      </c>
      <c r="L14" s="56">
        <f t="shared" si="4"/>
        <v>10900</v>
      </c>
      <c r="M14" s="56">
        <f t="shared" si="5"/>
        <v>6200</v>
      </c>
      <c r="N14" s="14">
        <f>IF(E14&gt;60000,0,VLOOKUP(D14,DropDownMenüs!$I$11:J17,2,FALSE))</f>
        <v>4000</v>
      </c>
      <c r="O14" s="41"/>
      <c r="P14" s="33"/>
      <c r="Q14" s="33"/>
    </row>
    <row r="15" spans="2:18">
      <c r="B15" s="3" t="s">
        <v>7</v>
      </c>
      <c r="C15" s="10" t="s">
        <v>170</v>
      </c>
      <c r="D15" s="49" t="s">
        <v>59</v>
      </c>
      <c r="E15" s="27">
        <v>35420.17</v>
      </c>
      <c r="F15" s="12" t="s">
        <v>115</v>
      </c>
      <c r="G15" s="53">
        <v>22352.94</v>
      </c>
      <c r="H15" s="13">
        <f t="shared" si="0"/>
        <v>13067.23</v>
      </c>
      <c r="I15" s="56">
        <f t="shared" si="1"/>
        <v>13100</v>
      </c>
      <c r="J15" s="56">
        <f t="shared" si="2"/>
        <v>13100</v>
      </c>
      <c r="K15" s="88">
        <f t="shared" si="3"/>
        <v>15550.003699999999</v>
      </c>
      <c r="L15" s="56">
        <f t="shared" si="4"/>
        <v>15600</v>
      </c>
      <c r="M15" s="56">
        <f t="shared" si="5"/>
        <v>15600</v>
      </c>
      <c r="N15" s="14">
        <f>IF(E15&gt;60000,0,VLOOKUP(D15,DropDownMenüs!$I$11:J18,2,FALSE))</f>
        <v>0</v>
      </c>
      <c r="O15" s="41"/>
      <c r="P15" s="33"/>
      <c r="Q15" s="33"/>
    </row>
    <row r="16" spans="2:18">
      <c r="B16" s="3" t="s">
        <v>7</v>
      </c>
      <c r="C16" s="10" t="s">
        <v>171</v>
      </c>
      <c r="D16" s="49" t="s">
        <v>273</v>
      </c>
      <c r="E16" s="27">
        <v>34579.83</v>
      </c>
      <c r="F16" s="12" t="s">
        <v>229</v>
      </c>
      <c r="G16" s="53">
        <v>26386.55</v>
      </c>
      <c r="H16" s="13">
        <f t="shared" si="0"/>
        <v>8193.2800000000025</v>
      </c>
      <c r="I16" s="56">
        <f t="shared" si="1"/>
        <v>8200</v>
      </c>
      <c r="J16" s="56">
        <f t="shared" si="2"/>
        <v>4200</v>
      </c>
      <c r="K16" s="88">
        <f t="shared" si="3"/>
        <v>9750.0032000000028</v>
      </c>
      <c r="L16" s="56">
        <f t="shared" si="4"/>
        <v>9800</v>
      </c>
      <c r="M16" s="56">
        <f t="shared" si="5"/>
        <v>5000</v>
      </c>
      <c r="N16" s="14">
        <f>IF(E16&gt;60000,0,VLOOKUP(D16,DropDownMenüs!$I$11:J19,2,FALSE))</f>
        <v>4000</v>
      </c>
      <c r="O16" s="41"/>
      <c r="P16" s="33"/>
      <c r="Q16" s="33"/>
    </row>
    <row r="17" spans="2:17">
      <c r="B17" s="3" t="s">
        <v>7</v>
      </c>
      <c r="C17" s="10" t="s">
        <v>172</v>
      </c>
      <c r="D17" s="49" t="s">
        <v>59</v>
      </c>
      <c r="E17" s="27">
        <v>38445.379999999997</v>
      </c>
      <c r="F17" s="12" t="s">
        <v>229</v>
      </c>
      <c r="G17" s="53">
        <v>26386.55</v>
      </c>
      <c r="H17" s="13">
        <f t="shared" si="0"/>
        <v>12058.829999999998</v>
      </c>
      <c r="I17" s="56">
        <f t="shared" si="1"/>
        <v>12100</v>
      </c>
      <c r="J17" s="56">
        <f t="shared" si="2"/>
        <v>12100</v>
      </c>
      <c r="K17" s="88">
        <f t="shared" si="3"/>
        <v>14350.007699999996</v>
      </c>
      <c r="L17" s="56">
        <f t="shared" si="4"/>
        <v>14400</v>
      </c>
      <c r="M17" s="56">
        <f t="shared" si="5"/>
        <v>14400</v>
      </c>
      <c r="N17" s="14">
        <f>IF(E17&gt;60000,0,VLOOKUP(D17,DropDownMenüs!$I$11:J20,2,FALSE))</f>
        <v>0</v>
      </c>
      <c r="O17" s="41"/>
      <c r="P17" s="33"/>
      <c r="Q17" s="33"/>
    </row>
    <row r="18" spans="2:17">
      <c r="B18" s="3" t="s">
        <v>16</v>
      </c>
      <c r="C18" s="10" t="s">
        <v>173</v>
      </c>
      <c r="D18" s="49" t="s">
        <v>273</v>
      </c>
      <c r="E18" s="27">
        <v>22040</v>
      </c>
      <c r="F18" s="12" t="s">
        <v>230</v>
      </c>
      <c r="G18" s="53">
        <v>14500</v>
      </c>
      <c r="H18" s="13">
        <f t="shared" si="0"/>
        <v>7540</v>
      </c>
      <c r="I18" s="56">
        <f t="shared" si="1"/>
        <v>7500</v>
      </c>
      <c r="J18" s="56">
        <f t="shared" si="2"/>
        <v>3500</v>
      </c>
      <c r="K18" s="88">
        <f t="shared" si="3"/>
        <v>8972.6</v>
      </c>
      <c r="L18" s="56">
        <f t="shared" si="4"/>
        <v>9000</v>
      </c>
      <c r="M18" s="56">
        <f t="shared" si="5"/>
        <v>4200</v>
      </c>
      <c r="N18" s="14">
        <f>IF(E18&gt;60000,0,VLOOKUP(D18,DropDownMenüs!$I$11:J21,2,FALSE))</f>
        <v>4000</v>
      </c>
      <c r="O18" s="41"/>
      <c r="P18" s="33"/>
      <c r="Q18" s="33"/>
    </row>
    <row r="19" spans="2:17">
      <c r="B19" s="3" t="s">
        <v>16</v>
      </c>
      <c r="C19" s="10" t="s">
        <v>174</v>
      </c>
      <c r="D19" s="49" t="s">
        <v>273</v>
      </c>
      <c r="E19" s="27">
        <v>16740</v>
      </c>
      <c r="F19" s="12" t="s">
        <v>230</v>
      </c>
      <c r="G19" s="53">
        <v>14500</v>
      </c>
      <c r="H19" s="13">
        <f t="shared" si="0"/>
        <v>2240</v>
      </c>
      <c r="I19" s="56">
        <f t="shared" si="1"/>
        <v>2200</v>
      </c>
      <c r="J19" s="56">
        <f t="shared" si="2"/>
        <v>0</v>
      </c>
      <c r="K19" s="88">
        <f t="shared" si="3"/>
        <v>2665.6</v>
      </c>
      <c r="L19" s="56">
        <f t="shared" si="4"/>
        <v>2700</v>
      </c>
      <c r="M19" s="56">
        <f t="shared" si="5"/>
        <v>0</v>
      </c>
      <c r="N19" s="14">
        <f>IF(E19&gt;60000,0,VLOOKUP(D19,DropDownMenüs!$I$11:J22,2,FALSE))</f>
        <v>4000</v>
      </c>
      <c r="O19" s="41"/>
      <c r="P19" s="33"/>
      <c r="Q19" s="33"/>
    </row>
    <row r="20" spans="2:17">
      <c r="B20" s="3" t="s">
        <v>16</v>
      </c>
      <c r="C20" s="10" t="s">
        <v>175</v>
      </c>
      <c r="D20" s="49" t="s">
        <v>273</v>
      </c>
      <c r="E20" s="27">
        <v>20990</v>
      </c>
      <c r="F20" s="12" t="s">
        <v>230</v>
      </c>
      <c r="G20" s="53">
        <v>14500</v>
      </c>
      <c r="H20" s="13">
        <f t="shared" si="0"/>
        <v>6490</v>
      </c>
      <c r="I20" s="56">
        <f t="shared" si="1"/>
        <v>6500</v>
      </c>
      <c r="J20" s="56">
        <f t="shared" si="2"/>
        <v>2500</v>
      </c>
      <c r="K20" s="88">
        <f t="shared" si="3"/>
        <v>7723.0999999999995</v>
      </c>
      <c r="L20" s="56">
        <f t="shared" si="4"/>
        <v>7700</v>
      </c>
      <c r="M20" s="56">
        <f t="shared" si="5"/>
        <v>3000</v>
      </c>
      <c r="N20" s="14">
        <f>IF(E20&gt;60000,0,VLOOKUP(D20,DropDownMenüs!$I$11:J23,2,FALSE))</f>
        <v>4000</v>
      </c>
      <c r="O20" s="41"/>
      <c r="P20" s="33"/>
      <c r="Q20" s="33"/>
    </row>
    <row r="21" spans="2:17">
      <c r="B21" s="3" t="s">
        <v>16</v>
      </c>
      <c r="C21" s="10" t="s">
        <v>176</v>
      </c>
      <c r="D21" s="49" t="s">
        <v>328</v>
      </c>
      <c r="E21" s="27">
        <v>15690</v>
      </c>
      <c r="F21" s="12" t="s">
        <v>231</v>
      </c>
      <c r="G21" s="53">
        <v>14500</v>
      </c>
      <c r="H21" s="13">
        <f t="shared" si="0"/>
        <v>1190</v>
      </c>
      <c r="I21" s="56">
        <f t="shared" si="1"/>
        <v>1200</v>
      </c>
      <c r="J21" s="56" t="e">
        <f t="shared" si="2"/>
        <v>#N/A</v>
      </c>
      <c r="K21" s="88">
        <f t="shared" si="3"/>
        <v>1416.1</v>
      </c>
      <c r="L21" s="56">
        <f t="shared" si="4"/>
        <v>1400</v>
      </c>
      <c r="M21" s="56" t="e">
        <f t="shared" si="5"/>
        <v>#N/A</v>
      </c>
      <c r="N21" s="14" t="e">
        <f>IF(E21&gt;60000,0,VLOOKUP(D21,DropDownMenüs!$I$11:J24,2,FALSE))</f>
        <v>#N/A</v>
      </c>
      <c r="O21" s="41"/>
      <c r="P21" s="33"/>
      <c r="Q21" s="33"/>
    </row>
    <row r="22" spans="2:17">
      <c r="B22" s="3" t="s">
        <v>5</v>
      </c>
      <c r="C22" s="10" t="s">
        <v>19</v>
      </c>
      <c r="D22" s="49" t="s">
        <v>273</v>
      </c>
      <c r="E22" s="27">
        <v>18319.330000000002</v>
      </c>
      <c r="F22" s="12" t="s">
        <v>20</v>
      </c>
      <c r="G22" s="53">
        <v>11134.45</v>
      </c>
      <c r="H22" s="13">
        <f t="shared" si="0"/>
        <v>7184.880000000001</v>
      </c>
      <c r="I22" s="56">
        <f t="shared" si="1"/>
        <v>7200</v>
      </c>
      <c r="J22" s="56">
        <f t="shared" si="2"/>
        <v>3200</v>
      </c>
      <c r="K22" s="88">
        <f t="shared" si="3"/>
        <v>8550.0072</v>
      </c>
      <c r="L22" s="56">
        <f t="shared" si="4"/>
        <v>8600</v>
      </c>
      <c r="M22" s="56">
        <f t="shared" si="5"/>
        <v>3800</v>
      </c>
      <c r="N22" s="14">
        <f>IF(E22&gt;60000,0,VLOOKUP(D22,DropDownMenüs!$I$11:J25,2,FALSE))</f>
        <v>4000</v>
      </c>
      <c r="O22" s="41"/>
      <c r="P22" s="33"/>
      <c r="Q22" s="33"/>
    </row>
    <row r="23" spans="2:17">
      <c r="B23" s="3" t="s">
        <v>7</v>
      </c>
      <c r="C23" s="10" t="s">
        <v>177</v>
      </c>
      <c r="D23" s="49" t="s">
        <v>273</v>
      </c>
      <c r="E23" s="27">
        <v>29327.73</v>
      </c>
      <c r="F23" s="12" t="s">
        <v>232</v>
      </c>
      <c r="G23" s="53">
        <v>18900</v>
      </c>
      <c r="H23" s="13">
        <f t="shared" si="0"/>
        <v>10427.73</v>
      </c>
      <c r="I23" s="56">
        <f t="shared" si="1"/>
        <v>10400</v>
      </c>
      <c r="J23" s="56">
        <f t="shared" si="2"/>
        <v>6400</v>
      </c>
      <c r="K23" s="88">
        <f t="shared" si="3"/>
        <v>12408.998699999998</v>
      </c>
      <c r="L23" s="56">
        <f t="shared" si="4"/>
        <v>12400</v>
      </c>
      <c r="M23" s="56">
        <f t="shared" si="5"/>
        <v>7600</v>
      </c>
      <c r="N23" s="14">
        <f>IF(E23&gt;60000,0,VLOOKUP(D23,DropDownMenüs!$I$11:J26,2,FALSE))</f>
        <v>4000</v>
      </c>
      <c r="O23" s="41"/>
      <c r="P23" s="33"/>
      <c r="Q23" s="33"/>
    </row>
    <row r="24" spans="2:17">
      <c r="B24" s="3" t="s">
        <v>7</v>
      </c>
      <c r="C24" s="10" t="s">
        <v>178</v>
      </c>
      <c r="D24" s="49" t="s">
        <v>273</v>
      </c>
      <c r="E24" s="27">
        <v>27983.19</v>
      </c>
      <c r="F24" s="12" t="s">
        <v>233</v>
      </c>
      <c r="G24" s="53">
        <v>16848.509999999998</v>
      </c>
      <c r="H24" s="13">
        <f t="shared" si="0"/>
        <v>11134.68</v>
      </c>
      <c r="I24" s="56">
        <f t="shared" si="1"/>
        <v>11100</v>
      </c>
      <c r="J24" s="56">
        <f t="shared" si="2"/>
        <v>7100</v>
      </c>
      <c r="K24" s="88">
        <f t="shared" si="3"/>
        <v>13250.269200000001</v>
      </c>
      <c r="L24" s="56">
        <f t="shared" si="4"/>
        <v>13300</v>
      </c>
      <c r="M24" s="56">
        <f t="shared" si="5"/>
        <v>8500</v>
      </c>
      <c r="N24" s="14">
        <f>IF(E24&gt;60000,0,VLOOKUP(D24,DropDownMenüs!$I$11:J27,2,FALSE))</f>
        <v>4000</v>
      </c>
      <c r="O24" s="41"/>
      <c r="P24" s="33"/>
      <c r="Q24" s="33"/>
    </row>
    <row r="25" spans="2:17">
      <c r="B25" s="3" t="s">
        <v>7</v>
      </c>
      <c r="C25" s="10" t="s">
        <v>179</v>
      </c>
      <c r="D25" s="49" t="s">
        <v>272</v>
      </c>
      <c r="E25" s="27">
        <v>25126.05</v>
      </c>
      <c r="F25" s="12" t="s">
        <v>234</v>
      </c>
      <c r="G25" s="53">
        <v>18781.509999999998</v>
      </c>
      <c r="H25" s="13">
        <f t="shared" si="0"/>
        <v>6344.5400000000009</v>
      </c>
      <c r="I25" s="56">
        <f t="shared" si="1"/>
        <v>6300</v>
      </c>
      <c r="J25" s="56">
        <f t="shared" si="2"/>
        <v>3300</v>
      </c>
      <c r="K25" s="88">
        <f t="shared" si="3"/>
        <v>7550.0026000000007</v>
      </c>
      <c r="L25" s="56">
        <f t="shared" si="4"/>
        <v>7600</v>
      </c>
      <c r="M25" s="56">
        <f t="shared" si="5"/>
        <v>4000</v>
      </c>
      <c r="N25" s="14">
        <f>IF(E25&gt;60000,0,VLOOKUP(D25,DropDownMenüs!$I$11:J28,2,FALSE))</f>
        <v>3000</v>
      </c>
      <c r="O25" s="41"/>
      <c r="P25" s="33"/>
      <c r="Q25" s="33"/>
    </row>
    <row r="26" spans="2:17">
      <c r="B26" s="3" t="s">
        <v>7</v>
      </c>
      <c r="C26" s="10" t="s">
        <v>180</v>
      </c>
      <c r="D26" s="49" t="s">
        <v>272</v>
      </c>
      <c r="E26" s="27">
        <v>34025.21</v>
      </c>
      <c r="F26" s="12" t="s">
        <v>235</v>
      </c>
      <c r="G26" s="53">
        <v>23437</v>
      </c>
      <c r="H26" s="13">
        <f t="shared" si="0"/>
        <v>10588.21</v>
      </c>
      <c r="I26" s="56">
        <f t="shared" si="1"/>
        <v>10600</v>
      </c>
      <c r="J26" s="56">
        <f t="shared" si="2"/>
        <v>7600</v>
      </c>
      <c r="K26" s="88">
        <f t="shared" si="3"/>
        <v>12599.969899999998</v>
      </c>
      <c r="L26" s="56">
        <f t="shared" si="4"/>
        <v>12600</v>
      </c>
      <c r="M26" s="56">
        <f t="shared" si="5"/>
        <v>9000</v>
      </c>
      <c r="N26" s="14">
        <f>IF(E26&gt;60000,0,VLOOKUP(D26,DropDownMenüs!$I$11:J29,2,FALSE))</f>
        <v>3000</v>
      </c>
      <c r="O26" s="41"/>
      <c r="P26" s="33"/>
      <c r="Q26" s="33"/>
    </row>
    <row r="27" spans="2:17">
      <c r="B27" s="3" t="s">
        <v>14</v>
      </c>
      <c r="C27" s="10" t="s">
        <v>181</v>
      </c>
      <c r="D27" s="49" t="s">
        <v>273</v>
      </c>
      <c r="E27" s="27">
        <v>24781.51</v>
      </c>
      <c r="F27" s="12" t="s">
        <v>236</v>
      </c>
      <c r="G27" s="53">
        <v>14277.310924369749</v>
      </c>
      <c r="H27" s="13">
        <f t="shared" si="0"/>
        <v>10504.199075630249</v>
      </c>
      <c r="I27" s="56">
        <f t="shared" si="1"/>
        <v>10500</v>
      </c>
      <c r="J27" s="56">
        <f t="shared" si="2"/>
        <v>6500</v>
      </c>
      <c r="K27" s="88">
        <f t="shared" si="3"/>
        <v>12499.996899999996</v>
      </c>
      <c r="L27" s="56">
        <f t="shared" si="4"/>
        <v>12500</v>
      </c>
      <c r="M27" s="56">
        <f t="shared" si="5"/>
        <v>7700</v>
      </c>
      <c r="N27" s="14">
        <f>IF(E27&gt;60000,0,VLOOKUP(D27,DropDownMenüs!$I$11:J30,2,FALSE))</f>
        <v>4000</v>
      </c>
      <c r="O27" s="41"/>
      <c r="P27" s="33"/>
      <c r="Q27" s="33"/>
    </row>
    <row r="28" spans="2:17">
      <c r="B28" s="3" t="s">
        <v>9</v>
      </c>
      <c r="C28" s="10" t="s">
        <v>182</v>
      </c>
      <c r="D28" s="49" t="s">
        <v>272</v>
      </c>
      <c r="E28" s="27">
        <v>42900</v>
      </c>
      <c r="F28" s="12" t="s">
        <v>35</v>
      </c>
      <c r="G28" s="53">
        <v>36880</v>
      </c>
      <c r="H28" s="13">
        <f t="shared" si="0"/>
        <v>6020</v>
      </c>
      <c r="I28" s="56">
        <f t="shared" si="1"/>
        <v>6000</v>
      </c>
      <c r="J28" s="56">
        <f t="shared" si="2"/>
        <v>3000</v>
      </c>
      <c r="K28" s="88">
        <f t="shared" si="3"/>
        <v>7163.7999999999993</v>
      </c>
      <c r="L28" s="56">
        <f t="shared" si="4"/>
        <v>7200</v>
      </c>
      <c r="M28" s="56">
        <f t="shared" si="5"/>
        <v>3600</v>
      </c>
      <c r="N28" s="14">
        <f>IF(E28&gt;60000,0,VLOOKUP(D28,DropDownMenüs!$I$11:J31,2,FALSE))</f>
        <v>3000</v>
      </c>
      <c r="O28" s="41"/>
      <c r="P28" s="33"/>
      <c r="Q28" s="33"/>
    </row>
    <row r="29" spans="2:17">
      <c r="B29" s="3" t="s">
        <v>7</v>
      </c>
      <c r="C29" s="10" t="s">
        <v>183</v>
      </c>
      <c r="D29" s="49" t="s">
        <v>272</v>
      </c>
      <c r="E29" s="27">
        <v>30672.27</v>
      </c>
      <c r="F29" s="12" t="s">
        <v>237</v>
      </c>
      <c r="G29" s="53">
        <v>26386.55462184874</v>
      </c>
      <c r="H29" s="13">
        <f t="shared" si="0"/>
        <v>4285.7153781512607</v>
      </c>
      <c r="I29" s="56">
        <f t="shared" si="1"/>
        <v>4300</v>
      </c>
      <c r="J29" s="56">
        <f t="shared" si="2"/>
        <v>1300</v>
      </c>
      <c r="K29" s="88">
        <f t="shared" si="3"/>
        <v>5100.0012999999999</v>
      </c>
      <c r="L29" s="56">
        <f t="shared" si="4"/>
        <v>5100</v>
      </c>
      <c r="M29" s="56">
        <f t="shared" si="5"/>
        <v>1500</v>
      </c>
      <c r="N29" s="14">
        <f>IF(E29&gt;60000,0,VLOOKUP(D29,DropDownMenüs!$I$11:J32,2,FALSE))</f>
        <v>3000</v>
      </c>
      <c r="O29" s="41"/>
      <c r="P29" s="33"/>
      <c r="Q29" s="33"/>
    </row>
    <row r="30" spans="2:17">
      <c r="B30" s="3" t="s">
        <v>6</v>
      </c>
      <c r="C30" s="10" t="s">
        <v>21</v>
      </c>
      <c r="D30" s="49" t="s">
        <v>273</v>
      </c>
      <c r="E30" s="27">
        <v>19991.599999999999</v>
      </c>
      <c r="F30" s="12" t="s">
        <v>22</v>
      </c>
      <c r="G30" s="53">
        <v>8394.9599999999991</v>
      </c>
      <c r="H30" s="13">
        <f t="shared" si="0"/>
        <v>11596.64</v>
      </c>
      <c r="I30" s="56">
        <f t="shared" si="1"/>
        <v>11600</v>
      </c>
      <c r="J30" s="56">
        <f t="shared" si="2"/>
        <v>7600</v>
      </c>
      <c r="K30" s="88">
        <f t="shared" si="3"/>
        <v>13800.0016</v>
      </c>
      <c r="L30" s="56">
        <f t="shared" si="4"/>
        <v>13800</v>
      </c>
      <c r="M30" s="56">
        <f t="shared" si="5"/>
        <v>9000</v>
      </c>
      <c r="N30" s="14">
        <f>IF(E30&gt;60000,0,VLOOKUP(D30,DropDownMenüs!$I$11:J33,2,FALSE))</f>
        <v>4000</v>
      </c>
      <c r="O30" s="41"/>
      <c r="P30" s="33"/>
      <c r="Q30" s="33"/>
    </row>
    <row r="31" spans="2:17">
      <c r="B31" s="3" t="s">
        <v>11</v>
      </c>
      <c r="C31" s="10" t="s">
        <v>184</v>
      </c>
      <c r="D31" s="49" t="s">
        <v>272</v>
      </c>
      <c r="E31" s="27">
        <v>33605.040000000001</v>
      </c>
      <c r="F31" s="12" t="s">
        <v>27</v>
      </c>
      <c r="G31" s="53">
        <v>21000</v>
      </c>
      <c r="H31" s="13">
        <f t="shared" si="0"/>
        <v>12605.04</v>
      </c>
      <c r="I31" s="56">
        <f t="shared" si="1"/>
        <v>12600</v>
      </c>
      <c r="J31" s="56">
        <f t="shared" si="2"/>
        <v>9600</v>
      </c>
      <c r="K31" s="88">
        <f t="shared" si="3"/>
        <v>14999.997600000001</v>
      </c>
      <c r="L31" s="56">
        <f t="shared" si="4"/>
        <v>15000</v>
      </c>
      <c r="M31" s="56">
        <f t="shared" si="5"/>
        <v>11400</v>
      </c>
      <c r="N31" s="14">
        <f>IF(E31&gt;60000,0,VLOOKUP(D31,DropDownMenüs!$I$11:J34,2,FALSE))</f>
        <v>3000</v>
      </c>
      <c r="O31" s="41"/>
      <c r="P31" s="33"/>
      <c r="Q31" s="33"/>
    </row>
    <row r="32" spans="2:17">
      <c r="B32" s="3" t="s">
        <v>16</v>
      </c>
      <c r="C32" s="10" t="s">
        <v>185</v>
      </c>
      <c r="D32" s="49" t="s">
        <v>273</v>
      </c>
      <c r="E32" s="27">
        <v>32004</v>
      </c>
      <c r="F32" s="12" t="s">
        <v>238</v>
      </c>
      <c r="G32" s="53">
        <v>19386.55</v>
      </c>
      <c r="H32" s="13">
        <f t="shared" si="0"/>
        <v>12617.45</v>
      </c>
      <c r="I32" s="56">
        <f t="shared" si="1"/>
        <v>12600</v>
      </c>
      <c r="J32" s="56">
        <f t="shared" si="2"/>
        <v>8600</v>
      </c>
      <c r="K32" s="88">
        <f t="shared" si="3"/>
        <v>15014.7655</v>
      </c>
      <c r="L32" s="56">
        <f t="shared" si="4"/>
        <v>15000</v>
      </c>
      <c r="M32" s="56">
        <f t="shared" si="5"/>
        <v>10300</v>
      </c>
      <c r="N32" s="14">
        <f>IF(E32&gt;60000,0,VLOOKUP(D32,DropDownMenüs!$I$11:J35,2,FALSE))</f>
        <v>4000</v>
      </c>
      <c r="O32" s="41"/>
      <c r="P32" s="33"/>
      <c r="Q32" s="33"/>
    </row>
    <row r="33" spans="2:17">
      <c r="B33" s="3" t="s">
        <v>16</v>
      </c>
      <c r="C33" s="10" t="s">
        <v>186</v>
      </c>
      <c r="D33" s="49" t="s">
        <v>273</v>
      </c>
      <c r="E33" s="27">
        <v>27084</v>
      </c>
      <c r="F33" s="12" t="s">
        <v>239</v>
      </c>
      <c r="G33" s="53">
        <v>19386.55</v>
      </c>
      <c r="H33" s="13">
        <f t="shared" si="0"/>
        <v>7697.4500000000007</v>
      </c>
      <c r="I33" s="56">
        <f t="shared" si="1"/>
        <v>7700</v>
      </c>
      <c r="J33" s="56">
        <f t="shared" si="2"/>
        <v>3700</v>
      </c>
      <c r="K33" s="88">
        <f t="shared" si="3"/>
        <v>9159.9655000000002</v>
      </c>
      <c r="L33" s="56">
        <f t="shared" si="4"/>
        <v>9200</v>
      </c>
      <c r="M33" s="56">
        <f t="shared" si="5"/>
        <v>4400</v>
      </c>
      <c r="N33" s="14">
        <f>IF(E33&gt;60000,0,VLOOKUP(D33,DropDownMenüs!$I$11:J36,2,FALSE))</f>
        <v>4000</v>
      </c>
      <c r="O33" s="41"/>
      <c r="P33" s="33"/>
      <c r="Q33" s="33"/>
    </row>
    <row r="34" spans="2:17">
      <c r="B34" s="3" t="s">
        <v>16</v>
      </c>
      <c r="C34" s="10" t="s">
        <v>187</v>
      </c>
      <c r="D34" s="49" t="s">
        <v>273</v>
      </c>
      <c r="E34" s="27">
        <v>32554</v>
      </c>
      <c r="F34" s="12" t="s">
        <v>240</v>
      </c>
      <c r="G34" s="53">
        <v>20121.84</v>
      </c>
      <c r="H34" s="13">
        <f t="shared" si="0"/>
        <v>12432.16</v>
      </c>
      <c r="I34" s="56">
        <f t="shared" si="1"/>
        <v>12400</v>
      </c>
      <c r="J34" s="56">
        <f t="shared" si="2"/>
        <v>8400</v>
      </c>
      <c r="K34" s="88">
        <f t="shared" si="3"/>
        <v>14794.270399999999</v>
      </c>
      <c r="L34" s="56">
        <f t="shared" si="4"/>
        <v>14800</v>
      </c>
      <c r="M34" s="56">
        <f t="shared" si="5"/>
        <v>10000</v>
      </c>
      <c r="N34" s="14">
        <f>IF(E34&gt;60000,0,VLOOKUP(D34,DropDownMenüs!$I$11:J37,2,FALSE))</f>
        <v>4000</v>
      </c>
      <c r="O34" s="41"/>
      <c r="P34" s="33"/>
      <c r="Q34" s="33"/>
    </row>
    <row r="35" spans="2:17">
      <c r="B35" s="3" t="s">
        <v>16</v>
      </c>
      <c r="C35" s="10" t="s">
        <v>188</v>
      </c>
      <c r="D35" s="49" t="s">
        <v>273</v>
      </c>
      <c r="E35" s="27">
        <v>27634</v>
      </c>
      <c r="F35" s="12" t="s">
        <v>240</v>
      </c>
      <c r="G35" s="53">
        <v>20121.84</v>
      </c>
      <c r="H35" s="13">
        <f t="shared" si="0"/>
        <v>7512.16</v>
      </c>
      <c r="I35" s="56">
        <f t="shared" si="1"/>
        <v>7500</v>
      </c>
      <c r="J35" s="56">
        <f t="shared" si="2"/>
        <v>3500</v>
      </c>
      <c r="K35" s="88">
        <f t="shared" si="3"/>
        <v>8939.4704000000002</v>
      </c>
      <c r="L35" s="56">
        <f t="shared" si="4"/>
        <v>8900</v>
      </c>
      <c r="M35" s="56">
        <f t="shared" si="5"/>
        <v>4200</v>
      </c>
      <c r="N35" s="14">
        <f>IF(E35&gt;60000,0,VLOOKUP(D35,DropDownMenüs!$I$11:J38,2,FALSE))</f>
        <v>4000</v>
      </c>
      <c r="O35" s="41"/>
      <c r="P35" s="33"/>
      <c r="Q35" s="33"/>
    </row>
    <row r="36" spans="2:17">
      <c r="B36" s="3" t="s">
        <v>16</v>
      </c>
      <c r="C36" s="10" t="s">
        <v>189</v>
      </c>
      <c r="D36" s="49" t="s">
        <v>273</v>
      </c>
      <c r="E36" s="27">
        <v>25660</v>
      </c>
      <c r="F36" s="12" t="s">
        <v>241</v>
      </c>
      <c r="G36" s="53">
        <v>14970</v>
      </c>
      <c r="H36" s="13">
        <f t="shared" si="0"/>
        <v>10690</v>
      </c>
      <c r="I36" s="56">
        <f t="shared" si="1"/>
        <v>10700</v>
      </c>
      <c r="J36" s="56">
        <f t="shared" si="2"/>
        <v>6700</v>
      </c>
      <c r="K36" s="88">
        <f t="shared" si="3"/>
        <v>12721.099999999999</v>
      </c>
      <c r="L36" s="56">
        <f t="shared" si="4"/>
        <v>12700</v>
      </c>
      <c r="M36" s="56">
        <f t="shared" si="5"/>
        <v>8000</v>
      </c>
      <c r="N36" s="14">
        <f>IF(E36&gt;60000,0,VLOOKUP(D36,DropDownMenüs!$I$11:J39,2,FALSE))</f>
        <v>4000</v>
      </c>
      <c r="O36" s="41"/>
      <c r="P36" s="33"/>
      <c r="Q36" s="33"/>
    </row>
    <row r="37" spans="2:17">
      <c r="B37" s="3" t="s">
        <v>16</v>
      </c>
      <c r="C37" s="10" t="s">
        <v>190</v>
      </c>
      <c r="D37" s="49" t="s">
        <v>273</v>
      </c>
      <c r="E37" s="27">
        <v>20702</v>
      </c>
      <c r="F37" s="12" t="s">
        <v>241</v>
      </c>
      <c r="G37" s="53">
        <v>14970</v>
      </c>
      <c r="H37" s="13">
        <f t="shared" si="0"/>
        <v>5732</v>
      </c>
      <c r="I37" s="56">
        <f t="shared" si="1"/>
        <v>5700</v>
      </c>
      <c r="J37" s="56">
        <f t="shared" si="2"/>
        <v>1700</v>
      </c>
      <c r="K37" s="88">
        <f t="shared" si="3"/>
        <v>6821.08</v>
      </c>
      <c r="L37" s="56">
        <f t="shared" si="4"/>
        <v>6800</v>
      </c>
      <c r="M37" s="56">
        <f t="shared" si="5"/>
        <v>2100</v>
      </c>
      <c r="N37" s="14">
        <f>IF(E37&gt;60000,0,VLOOKUP(D37,DropDownMenüs!$I$11:J40,2,FALSE))</f>
        <v>4000</v>
      </c>
      <c r="O37" s="41"/>
      <c r="P37" s="33"/>
      <c r="Q37" s="33"/>
    </row>
    <row r="38" spans="2:17">
      <c r="B38" s="3" t="s">
        <v>16</v>
      </c>
      <c r="C38" s="10" t="s">
        <v>191</v>
      </c>
      <c r="D38" s="49" t="s">
        <v>273</v>
      </c>
      <c r="E38" s="27">
        <v>29658</v>
      </c>
      <c r="F38" s="12" t="s">
        <v>242</v>
      </c>
      <c r="G38" s="53">
        <v>19090</v>
      </c>
      <c r="H38" s="13">
        <f t="shared" si="0"/>
        <v>10568</v>
      </c>
      <c r="I38" s="56">
        <f t="shared" si="1"/>
        <v>10600</v>
      </c>
      <c r="J38" s="56">
        <f t="shared" si="2"/>
        <v>6600</v>
      </c>
      <c r="K38" s="88">
        <f t="shared" si="3"/>
        <v>12575.92</v>
      </c>
      <c r="L38" s="56">
        <f t="shared" si="4"/>
        <v>12600</v>
      </c>
      <c r="M38" s="56">
        <f t="shared" si="5"/>
        <v>7800</v>
      </c>
      <c r="N38" s="14">
        <f>IF(E38&gt;60000,0,VLOOKUP(D38,DropDownMenüs!$I$11:J41,2,FALSE))</f>
        <v>4000</v>
      </c>
      <c r="O38" s="41"/>
      <c r="P38" s="33"/>
      <c r="Q38" s="33"/>
    </row>
    <row r="39" spans="2:17">
      <c r="B39" s="3" t="s">
        <v>16</v>
      </c>
      <c r="C39" s="10" t="s">
        <v>192</v>
      </c>
      <c r="D39" s="49" t="s">
        <v>273</v>
      </c>
      <c r="E39" s="27">
        <v>24702</v>
      </c>
      <c r="F39" s="12" t="s">
        <v>242</v>
      </c>
      <c r="G39" s="53">
        <v>19090</v>
      </c>
      <c r="H39" s="13">
        <f t="shared" si="0"/>
        <v>5612</v>
      </c>
      <c r="I39" s="56">
        <f t="shared" si="1"/>
        <v>5600</v>
      </c>
      <c r="J39" s="56">
        <f t="shared" si="2"/>
        <v>1600</v>
      </c>
      <c r="K39" s="88">
        <f t="shared" si="3"/>
        <v>6678.28</v>
      </c>
      <c r="L39" s="56">
        <f t="shared" si="4"/>
        <v>6700</v>
      </c>
      <c r="M39" s="56">
        <f t="shared" si="5"/>
        <v>1900</v>
      </c>
      <c r="N39" s="14">
        <f>IF(E39&gt;60000,0,VLOOKUP(D39,DropDownMenüs!$I$11:J42,2,FALSE))</f>
        <v>4000</v>
      </c>
      <c r="O39" s="41"/>
      <c r="P39" s="33"/>
      <c r="Q39" s="33"/>
    </row>
    <row r="40" spans="2:17">
      <c r="B40" s="3" t="s">
        <v>7</v>
      </c>
      <c r="C40" s="10" t="s">
        <v>193</v>
      </c>
      <c r="D40" s="49" t="s">
        <v>273</v>
      </c>
      <c r="E40" s="27">
        <v>24592.43</v>
      </c>
      <c r="F40" s="12" t="s">
        <v>116</v>
      </c>
      <c r="G40" s="53">
        <v>15352.94</v>
      </c>
      <c r="H40" s="13">
        <f t="shared" si="0"/>
        <v>9239.49</v>
      </c>
      <c r="I40" s="56">
        <f t="shared" si="1"/>
        <v>9200</v>
      </c>
      <c r="J40" s="56">
        <f t="shared" si="2"/>
        <v>5200</v>
      </c>
      <c r="K40" s="88">
        <f t="shared" si="3"/>
        <v>10994.9931</v>
      </c>
      <c r="L40" s="56">
        <f t="shared" si="4"/>
        <v>11000</v>
      </c>
      <c r="M40" s="56">
        <f t="shared" si="5"/>
        <v>6200</v>
      </c>
      <c r="N40" s="14">
        <f>IF(E40&gt;60000,0,VLOOKUP(D40,DropDownMenüs!$I$11:J43,2,FALSE))</f>
        <v>4000</v>
      </c>
      <c r="O40" s="41"/>
      <c r="P40" s="33"/>
      <c r="Q40" s="33"/>
    </row>
    <row r="41" spans="2:17">
      <c r="B41" s="3" t="s">
        <v>7</v>
      </c>
      <c r="C41" s="10" t="s">
        <v>194</v>
      </c>
      <c r="D41" s="49" t="s">
        <v>273</v>
      </c>
      <c r="E41" s="27">
        <v>19634.45</v>
      </c>
      <c r="F41" s="12" t="s">
        <v>116</v>
      </c>
      <c r="G41" s="53">
        <v>15352.94</v>
      </c>
      <c r="H41" s="13">
        <f t="shared" ref="H41:H72" si="6">+E41-G41</f>
        <v>4281.51</v>
      </c>
      <c r="I41" s="56">
        <f t="shared" si="1"/>
        <v>4300</v>
      </c>
      <c r="J41" s="56">
        <f t="shared" si="2"/>
        <v>300</v>
      </c>
      <c r="K41" s="88">
        <f t="shared" si="3"/>
        <v>5094.9969000000001</v>
      </c>
      <c r="L41" s="56">
        <f t="shared" si="4"/>
        <v>5100</v>
      </c>
      <c r="M41" s="56">
        <f t="shared" si="5"/>
        <v>300</v>
      </c>
      <c r="N41" s="14">
        <f>IF(E41&gt;60000,0,VLOOKUP(D41,DropDownMenüs!$I$11:J44,2,FALSE))</f>
        <v>4000</v>
      </c>
      <c r="O41" s="41"/>
      <c r="P41" s="33"/>
      <c r="Q41" s="33"/>
    </row>
    <row r="42" spans="2:17">
      <c r="B42" s="3" t="s">
        <v>7</v>
      </c>
      <c r="C42" s="10" t="s">
        <v>195</v>
      </c>
      <c r="D42" s="49" t="s">
        <v>273</v>
      </c>
      <c r="E42" s="27">
        <v>26273.11</v>
      </c>
      <c r="F42" s="12" t="s">
        <v>116</v>
      </c>
      <c r="G42" s="53">
        <v>15352.94</v>
      </c>
      <c r="H42" s="13">
        <f t="shared" si="6"/>
        <v>10920.17</v>
      </c>
      <c r="I42" s="56">
        <f t="shared" si="1"/>
        <v>10900</v>
      </c>
      <c r="J42" s="56">
        <f t="shared" si="2"/>
        <v>6900</v>
      </c>
      <c r="K42" s="88">
        <f t="shared" si="3"/>
        <v>12995.0023</v>
      </c>
      <c r="L42" s="56">
        <f t="shared" si="4"/>
        <v>13000</v>
      </c>
      <c r="M42" s="56">
        <f t="shared" si="5"/>
        <v>8200</v>
      </c>
      <c r="N42" s="14">
        <f>IF(E42&gt;60000,0,VLOOKUP(D42,DropDownMenüs!$I$11:J45,2,FALSE))</f>
        <v>4000</v>
      </c>
      <c r="O42" s="41"/>
      <c r="P42" s="33"/>
      <c r="Q42" s="33"/>
    </row>
    <row r="43" spans="2:17">
      <c r="B43" s="3" t="s">
        <v>7</v>
      </c>
      <c r="C43" s="10" t="s">
        <v>196</v>
      </c>
      <c r="D43" s="49" t="s">
        <v>273</v>
      </c>
      <c r="E43" s="27">
        <v>21315.13</v>
      </c>
      <c r="F43" s="12" t="s">
        <v>116</v>
      </c>
      <c r="G43" s="53">
        <v>15352.94</v>
      </c>
      <c r="H43" s="13">
        <f t="shared" si="6"/>
        <v>5962.1900000000005</v>
      </c>
      <c r="I43" s="56">
        <f t="shared" si="1"/>
        <v>6000</v>
      </c>
      <c r="J43" s="56">
        <f t="shared" si="2"/>
        <v>2000</v>
      </c>
      <c r="K43" s="88">
        <f t="shared" si="3"/>
        <v>7095.0061000000005</v>
      </c>
      <c r="L43" s="56">
        <f t="shared" si="4"/>
        <v>7100</v>
      </c>
      <c r="M43" s="56">
        <f t="shared" si="5"/>
        <v>2300</v>
      </c>
      <c r="N43" s="14">
        <f>IF(E43&gt;60000,0,VLOOKUP(D43,DropDownMenüs!$I$11:J46,2,FALSE))</f>
        <v>4000</v>
      </c>
      <c r="O43" s="41"/>
      <c r="P43" s="33"/>
      <c r="Q43" s="33"/>
    </row>
    <row r="44" spans="2:17">
      <c r="B44" s="3" t="s">
        <v>7</v>
      </c>
      <c r="C44" s="10" t="s">
        <v>197</v>
      </c>
      <c r="D44" s="49" t="s">
        <v>273</v>
      </c>
      <c r="E44" s="27">
        <v>26848.74</v>
      </c>
      <c r="F44" s="12" t="s">
        <v>116</v>
      </c>
      <c r="G44" s="53">
        <v>15352.94</v>
      </c>
      <c r="H44" s="13">
        <f t="shared" si="6"/>
        <v>11495.800000000001</v>
      </c>
      <c r="I44" s="56">
        <f t="shared" si="1"/>
        <v>11500</v>
      </c>
      <c r="J44" s="56">
        <f t="shared" si="2"/>
        <v>7500</v>
      </c>
      <c r="K44" s="88">
        <f t="shared" si="3"/>
        <v>13680.002</v>
      </c>
      <c r="L44" s="56">
        <f t="shared" si="4"/>
        <v>13700</v>
      </c>
      <c r="M44" s="56">
        <f t="shared" si="5"/>
        <v>8900</v>
      </c>
      <c r="N44" s="14">
        <f>IF(E44&gt;60000,0,VLOOKUP(D44,DropDownMenüs!$I$11:J47,2,FALSE))</f>
        <v>4000</v>
      </c>
      <c r="O44" s="41"/>
      <c r="P44" s="33"/>
      <c r="Q44" s="33"/>
    </row>
    <row r="45" spans="2:17">
      <c r="B45" s="3" t="s">
        <v>7</v>
      </c>
      <c r="C45" s="10" t="s">
        <v>198</v>
      </c>
      <c r="D45" s="49" t="s">
        <v>273</v>
      </c>
      <c r="E45" s="27">
        <v>33050.42</v>
      </c>
      <c r="F45" s="12" t="s">
        <v>243</v>
      </c>
      <c r="G45" s="53">
        <v>19915.966386554599</v>
      </c>
      <c r="H45" s="13">
        <f t="shared" si="6"/>
        <v>13134.453613445399</v>
      </c>
      <c r="I45" s="56">
        <f t="shared" si="1"/>
        <v>13100</v>
      </c>
      <c r="J45" s="56">
        <f t="shared" si="2"/>
        <v>9100</v>
      </c>
      <c r="K45" s="88">
        <f t="shared" si="3"/>
        <v>15629.999800000025</v>
      </c>
      <c r="L45" s="56">
        <f t="shared" si="4"/>
        <v>15600</v>
      </c>
      <c r="M45" s="56">
        <f t="shared" si="5"/>
        <v>10900</v>
      </c>
      <c r="N45" s="14">
        <f>IF(E45&gt;60000,0,VLOOKUP(D45,DropDownMenüs!$I$11:J48,2,FALSE))</f>
        <v>4000</v>
      </c>
      <c r="O45" s="41"/>
      <c r="P45" s="33"/>
      <c r="Q45" s="33"/>
    </row>
    <row r="46" spans="2:17">
      <c r="B46" s="3" t="s">
        <v>5</v>
      </c>
      <c r="C46" s="10" t="s">
        <v>199</v>
      </c>
      <c r="D46" s="49" t="s">
        <v>273</v>
      </c>
      <c r="E46" s="27">
        <v>18319.330000000002</v>
      </c>
      <c r="F46" s="12" t="s">
        <v>23</v>
      </c>
      <c r="G46" s="53">
        <v>10000</v>
      </c>
      <c r="H46" s="13">
        <f t="shared" si="6"/>
        <v>8319.3300000000017</v>
      </c>
      <c r="I46" s="56">
        <f t="shared" si="1"/>
        <v>8300</v>
      </c>
      <c r="J46" s="56">
        <f t="shared" si="2"/>
        <v>4300</v>
      </c>
      <c r="K46" s="88">
        <f t="shared" si="3"/>
        <v>9900.0027000000009</v>
      </c>
      <c r="L46" s="56">
        <f t="shared" si="4"/>
        <v>9900</v>
      </c>
      <c r="M46" s="56">
        <f t="shared" si="5"/>
        <v>5100</v>
      </c>
      <c r="N46" s="14">
        <f>IF(E46&gt;60000,0,VLOOKUP(D46,DropDownMenüs!$I$11:J49,2,FALSE))</f>
        <v>4000</v>
      </c>
      <c r="O46" s="41"/>
      <c r="P46" s="33"/>
      <c r="Q46" s="33"/>
    </row>
    <row r="47" spans="2:17">
      <c r="B47" s="3" t="s">
        <v>16</v>
      </c>
      <c r="C47" s="10" t="s">
        <v>200</v>
      </c>
      <c r="D47" s="49" t="s">
        <v>273</v>
      </c>
      <c r="E47" s="27">
        <v>21290</v>
      </c>
      <c r="F47" s="12" t="s">
        <v>244</v>
      </c>
      <c r="G47" s="53">
        <v>12350</v>
      </c>
      <c r="H47" s="13">
        <f t="shared" si="6"/>
        <v>8940</v>
      </c>
      <c r="I47" s="56">
        <f t="shared" si="1"/>
        <v>8900</v>
      </c>
      <c r="J47" s="56">
        <f t="shared" si="2"/>
        <v>4900</v>
      </c>
      <c r="K47" s="88">
        <f t="shared" si="3"/>
        <v>10638.6</v>
      </c>
      <c r="L47" s="56">
        <f t="shared" si="4"/>
        <v>10600</v>
      </c>
      <c r="M47" s="56">
        <f t="shared" si="5"/>
        <v>5900</v>
      </c>
      <c r="N47" s="14">
        <f>IF(E47&gt;60000,0,VLOOKUP(D47,DropDownMenüs!$I$11:J50,2,FALSE))</f>
        <v>4000</v>
      </c>
      <c r="O47" s="41"/>
      <c r="P47" s="33"/>
      <c r="Q47" s="33"/>
    </row>
    <row r="48" spans="2:17">
      <c r="B48" s="3" t="s">
        <v>16</v>
      </c>
      <c r="C48" s="10" t="s">
        <v>201</v>
      </c>
      <c r="D48" s="49" t="s">
        <v>273</v>
      </c>
      <c r="E48" s="27">
        <v>22340</v>
      </c>
      <c r="F48" s="12" t="s">
        <v>245</v>
      </c>
      <c r="G48" s="53">
        <v>16380</v>
      </c>
      <c r="H48" s="13">
        <f t="shared" si="6"/>
        <v>5960</v>
      </c>
      <c r="I48" s="56">
        <f t="shared" si="1"/>
        <v>6000</v>
      </c>
      <c r="J48" s="56">
        <f t="shared" si="2"/>
        <v>2000</v>
      </c>
      <c r="K48" s="88">
        <f t="shared" si="3"/>
        <v>7092.4</v>
      </c>
      <c r="L48" s="56">
        <f t="shared" si="4"/>
        <v>7100</v>
      </c>
      <c r="M48" s="56">
        <f t="shared" si="5"/>
        <v>2300</v>
      </c>
      <c r="N48" s="14">
        <f>IF(E48&gt;60000,0,VLOOKUP(D48,DropDownMenüs!$I$11:J51,2,FALSE))</f>
        <v>4000</v>
      </c>
      <c r="O48" s="41"/>
      <c r="P48" s="33"/>
      <c r="Q48" s="33"/>
    </row>
    <row r="49" spans="2:17">
      <c r="B49" s="3" t="s">
        <v>16</v>
      </c>
      <c r="C49" s="10" t="s">
        <v>202</v>
      </c>
      <c r="D49" s="49" t="s">
        <v>273</v>
      </c>
      <c r="E49" s="27">
        <v>22750.5</v>
      </c>
      <c r="F49" s="12" t="s">
        <v>246</v>
      </c>
      <c r="G49" s="53">
        <v>13395</v>
      </c>
      <c r="H49" s="13">
        <f t="shared" si="6"/>
        <v>9355.5</v>
      </c>
      <c r="I49" s="56">
        <f t="shared" si="1"/>
        <v>9400</v>
      </c>
      <c r="J49" s="56">
        <f t="shared" si="2"/>
        <v>5400</v>
      </c>
      <c r="K49" s="88">
        <f t="shared" si="3"/>
        <v>11133.045</v>
      </c>
      <c r="L49" s="56">
        <f t="shared" si="4"/>
        <v>11100</v>
      </c>
      <c r="M49" s="56">
        <f t="shared" si="5"/>
        <v>6400</v>
      </c>
      <c r="N49" s="14">
        <f>IF(E49&gt;60000,0,VLOOKUP(D49,DropDownMenüs!$I$11:J52,2,FALSE))</f>
        <v>4000</v>
      </c>
      <c r="O49" s="41"/>
      <c r="P49" s="33"/>
      <c r="Q49" s="33"/>
    </row>
    <row r="50" spans="2:17">
      <c r="B50" s="3" t="s">
        <v>6</v>
      </c>
      <c r="C50" s="10" t="s">
        <v>203</v>
      </c>
      <c r="D50" s="49" t="s">
        <v>273</v>
      </c>
      <c r="E50" s="27">
        <v>25294.12</v>
      </c>
      <c r="F50" s="12" t="s">
        <v>247</v>
      </c>
      <c r="G50" s="53">
        <v>12008.4</v>
      </c>
      <c r="H50" s="13">
        <f t="shared" si="6"/>
        <v>13285.72</v>
      </c>
      <c r="I50" s="56">
        <f t="shared" si="1"/>
        <v>13300</v>
      </c>
      <c r="J50" s="56">
        <f t="shared" si="2"/>
        <v>9300</v>
      </c>
      <c r="K50" s="88">
        <f t="shared" si="3"/>
        <v>15810.006799999999</v>
      </c>
      <c r="L50" s="56">
        <f t="shared" si="4"/>
        <v>15800</v>
      </c>
      <c r="M50" s="56">
        <f t="shared" si="5"/>
        <v>11100</v>
      </c>
      <c r="N50" s="14">
        <f>IF(E50&gt;60000,0,VLOOKUP(D50,DropDownMenüs!$I$11:J53,2,FALSE))</f>
        <v>4000</v>
      </c>
      <c r="O50" s="41"/>
      <c r="P50" s="33"/>
      <c r="Q50" s="33"/>
    </row>
    <row r="51" spans="2:17">
      <c r="B51" s="3" t="s">
        <v>6</v>
      </c>
      <c r="C51" s="10" t="s">
        <v>204</v>
      </c>
      <c r="D51" s="49" t="s">
        <v>273</v>
      </c>
      <c r="E51" s="27">
        <v>18571.43</v>
      </c>
      <c r="F51" s="12" t="s">
        <v>247</v>
      </c>
      <c r="G51" s="53">
        <v>12008.4</v>
      </c>
      <c r="H51" s="13">
        <f t="shared" si="6"/>
        <v>6563.0300000000007</v>
      </c>
      <c r="I51" s="56">
        <f t="shared" si="1"/>
        <v>6600</v>
      </c>
      <c r="J51" s="56">
        <f t="shared" si="2"/>
        <v>2600</v>
      </c>
      <c r="K51" s="88">
        <f t="shared" si="3"/>
        <v>7810.0057000000006</v>
      </c>
      <c r="L51" s="56">
        <f t="shared" si="4"/>
        <v>7800</v>
      </c>
      <c r="M51" s="56">
        <f t="shared" si="5"/>
        <v>3100</v>
      </c>
      <c r="N51" s="14">
        <f>IF(E51&gt;60000,0,VLOOKUP(D51,DropDownMenüs!$I$11:J54,2,FALSE))</f>
        <v>4000</v>
      </c>
      <c r="O51" s="41"/>
      <c r="P51" s="33"/>
      <c r="Q51" s="33"/>
    </row>
    <row r="52" spans="2:17">
      <c r="B52" s="3" t="s">
        <v>6</v>
      </c>
      <c r="C52" s="10" t="s">
        <v>28</v>
      </c>
      <c r="D52" s="49" t="s">
        <v>273</v>
      </c>
      <c r="E52" s="27">
        <v>26991.67</v>
      </c>
      <c r="F52" s="12" t="s">
        <v>247</v>
      </c>
      <c r="G52" s="53">
        <v>12008.4</v>
      </c>
      <c r="H52" s="13">
        <f t="shared" si="6"/>
        <v>14983.269999999999</v>
      </c>
      <c r="I52" s="56">
        <f t="shared" si="1"/>
        <v>15000</v>
      </c>
      <c r="J52" s="56">
        <f t="shared" si="2"/>
        <v>11000</v>
      </c>
      <c r="K52" s="88">
        <f t="shared" si="3"/>
        <v>17830.091299999996</v>
      </c>
      <c r="L52" s="56">
        <f t="shared" si="4"/>
        <v>17800</v>
      </c>
      <c r="M52" s="56">
        <f t="shared" si="5"/>
        <v>13100</v>
      </c>
      <c r="N52" s="14">
        <f>IF(E52&gt;60000,0,VLOOKUP(D52,DropDownMenüs!$I$11:J55,2,FALSE))</f>
        <v>4000</v>
      </c>
      <c r="O52" s="41"/>
      <c r="P52" s="33"/>
      <c r="Q52" s="33"/>
    </row>
    <row r="53" spans="2:17">
      <c r="B53" s="3" t="s">
        <v>6</v>
      </c>
      <c r="C53" s="10" t="s">
        <v>205</v>
      </c>
      <c r="D53" s="49" t="s">
        <v>273</v>
      </c>
      <c r="E53" s="27">
        <v>20741.669999999998</v>
      </c>
      <c r="F53" s="12" t="s">
        <v>247</v>
      </c>
      <c r="G53" s="53">
        <v>12008.4</v>
      </c>
      <c r="H53" s="13">
        <f t="shared" si="6"/>
        <v>8733.2699999999986</v>
      </c>
      <c r="I53" s="56">
        <f t="shared" si="1"/>
        <v>8700</v>
      </c>
      <c r="J53" s="56">
        <f t="shared" si="2"/>
        <v>4700</v>
      </c>
      <c r="K53" s="88">
        <f t="shared" si="3"/>
        <v>10392.591299999998</v>
      </c>
      <c r="L53" s="56">
        <f t="shared" si="4"/>
        <v>10400</v>
      </c>
      <c r="M53" s="56">
        <f t="shared" si="5"/>
        <v>5600</v>
      </c>
      <c r="N53" s="14">
        <f>IF(E53&gt;60000,0,VLOOKUP(D53,DropDownMenüs!$I$11:J56,2,FALSE))</f>
        <v>4000</v>
      </c>
      <c r="O53" s="41"/>
      <c r="P53" s="33"/>
      <c r="Q53" s="33"/>
    </row>
    <row r="54" spans="2:17">
      <c r="B54" s="3" t="s">
        <v>16</v>
      </c>
      <c r="C54" s="10" t="s">
        <v>206</v>
      </c>
      <c r="D54" s="49" t="s">
        <v>273</v>
      </c>
      <c r="E54" s="27">
        <v>29920</v>
      </c>
      <c r="F54" s="12" t="s">
        <v>248</v>
      </c>
      <c r="G54" s="53">
        <v>15970</v>
      </c>
      <c r="H54" s="13">
        <f t="shared" si="6"/>
        <v>13950</v>
      </c>
      <c r="I54" s="56">
        <f t="shared" si="1"/>
        <v>14000</v>
      </c>
      <c r="J54" s="56">
        <f t="shared" si="2"/>
        <v>10000</v>
      </c>
      <c r="K54" s="88">
        <f t="shared" si="3"/>
        <v>16600.5</v>
      </c>
      <c r="L54" s="56">
        <f t="shared" si="4"/>
        <v>16600</v>
      </c>
      <c r="M54" s="56">
        <f t="shared" si="5"/>
        <v>11800</v>
      </c>
      <c r="N54" s="14">
        <f>IF(E54&gt;60000,0,VLOOKUP(D54,DropDownMenüs!$I$11:J57,2,FALSE))</f>
        <v>4000</v>
      </c>
      <c r="O54" s="41"/>
      <c r="P54" s="33"/>
      <c r="Q54" s="33"/>
    </row>
    <row r="55" spans="2:17">
      <c r="B55" s="3" t="s">
        <v>16</v>
      </c>
      <c r="C55" s="10" t="s">
        <v>207</v>
      </c>
      <c r="D55" s="49" t="s">
        <v>273</v>
      </c>
      <c r="E55" s="27">
        <v>20820</v>
      </c>
      <c r="F55" s="12" t="s">
        <v>248</v>
      </c>
      <c r="G55" s="53">
        <v>15970</v>
      </c>
      <c r="H55" s="13">
        <f t="shared" si="6"/>
        <v>4850</v>
      </c>
      <c r="I55" s="56">
        <f t="shared" si="1"/>
        <v>4900</v>
      </c>
      <c r="J55" s="56">
        <f t="shared" si="2"/>
        <v>900</v>
      </c>
      <c r="K55" s="88">
        <f t="shared" si="3"/>
        <v>5771.5</v>
      </c>
      <c r="L55" s="56">
        <f t="shared" si="4"/>
        <v>5800</v>
      </c>
      <c r="M55" s="56">
        <f t="shared" si="5"/>
        <v>1000</v>
      </c>
      <c r="N55" s="14">
        <f>IF(E55&gt;60000,0,VLOOKUP(D55,DropDownMenüs!$I$11:J58,2,FALSE))</f>
        <v>4000</v>
      </c>
      <c r="O55" s="41"/>
      <c r="P55" s="33"/>
      <c r="Q55" s="33"/>
    </row>
    <row r="56" spans="2:17">
      <c r="B56" s="3" t="s">
        <v>16</v>
      </c>
      <c r="C56" s="10" t="s">
        <v>208</v>
      </c>
      <c r="D56" s="49" t="s">
        <v>273</v>
      </c>
      <c r="E56" s="27">
        <v>31120</v>
      </c>
      <c r="F56" s="12" t="s">
        <v>249</v>
      </c>
      <c r="G56" s="53">
        <v>18120</v>
      </c>
      <c r="H56" s="13">
        <f t="shared" si="6"/>
        <v>13000</v>
      </c>
      <c r="I56" s="56">
        <f t="shared" si="1"/>
        <v>13000</v>
      </c>
      <c r="J56" s="56">
        <f t="shared" si="2"/>
        <v>9000</v>
      </c>
      <c r="K56" s="88">
        <f t="shared" si="3"/>
        <v>15470</v>
      </c>
      <c r="L56" s="56">
        <f t="shared" si="4"/>
        <v>15500</v>
      </c>
      <c r="M56" s="56">
        <f t="shared" si="5"/>
        <v>10700</v>
      </c>
      <c r="N56" s="14">
        <f>IF(E56&gt;60000,0,VLOOKUP(D56,DropDownMenüs!$I$11:J59,2,FALSE))</f>
        <v>4000</v>
      </c>
      <c r="O56" s="41"/>
      <c r="P56" s="33"/>
      <c r="Q56" s="33"/>
    </row>
    <row r="57" spans="2:17">
      <c r="B57" s="3" t="s">
        <v>16</v>
      </c>
      <c r="C57" s="10" t="s">
        <v>209</v>
      </c>
      <c r="D57" s="49" t="s">
        <v>273</v>
      </c>
      <c r="E57" s="27">
        <v>22020</v>
      </c>
      <c r="F57" s="12" t="s">
        <v>249</v>
      </c>
      <c r="G57" s="53">
        <v>18120</v>
      </c>
      <c r="H57" s="13">
        <f t="shared" si="6"/>
        <v>3900</v>
      </c>
      <c r="I57" s="56">
        <f t="shared" si="1"/>
        <v>3900</v>
      </c>
      <c r="J57" s="56">
        <f t="shared" si="2"/>
        <v>0</v>
      </c>
      <c r="K57" s="88">
        <f t="shared" si="3"/>
        <v>4641</v>
      </c>
      <c r="L57" s="56">
        <f t="shared" si="4"/>
        <v>4600</v>
      </c>
      <c r="M57" s="56">
        <f t="shared" si="5"/>
        <v>0</v>
      </c>
      <c r="N57" s="14">
        <f>IF(E57&gt;60000,0,VLOOKUP(D57,DropDownMenüs!$I$11:J60,2,FALSE))</f>
        <v>4000</v>
      </c>
      <c r="O57" s="41"/>
      <c r="P57" s="33"/>
      <c r="Q57" s="33"/>
    </row>
    <row r="58" spans="2:17">
      <c r="B58" s="3" t="s">
        <v>16</v>
      </c>
      <c r="C58" s="10" t="s">
        <v>210</v>
      </c>
      <c r="D58" s="49" t="s">
        <v>273</v>
      </c>
      <c r="E58" s="27">
        <v>31920</v>
      </c>
      <c r="F58" s="12" t="s">
        <v>250</v>
      </c>
      <c r="G58" s="53">
        <v>19120</v>
      </c>
      <c r="H58" s="13">
        <f t="shared" si="6"/>
        <v>12800</v>
      </c>
      <c r="I58" s="56">
        <f t="shared" si="1"/>
        <v>12800</v>
      </c>
      <c r="J58" s="56">
        <f t="shared" si="2"/>
        <v>8800</v>
      </c>
      <c r="K58" s="88">
        <f t="shared" si="3"/>
        <v>15232</v>
      </c>
      <c r="L58" s="56">
        <f t="shared" si="4"/>
        <v>15200</v>
      </c>
      <c r="M58" s="56">
        <f t="shared" si="5"/>
        <v>10500</v>
      </c>
      <c r="N58" s="14">
        <f>IF(E58&gt;60000,0,VLOOKUP(D58,DropDownMenüs!$I$11:J61,2,FALSE))</f>
        <v>4000</v>
      </c>
      <c r="O58" s="41"/>
      <c r="P58" s="33"/>
      <c r="Q58" s="33"/>
    </row>
    <row r="59" spans="2:17">
      <c r="B59" s="3" t="s">
        <v>16</v>
      </c>
      <c r="C59" s="10" t="s">
        <v>211</v>
      </c>
      <c r="D59" s="49" t="s">
        <v>273</v>
      </c>
      <c r="E59" s="27">
        <v>32320</v>
      </c>
      <c r="F59" s="12" t="s">
        <v>251</v>
      </c>
      <c r="G59" s="53">
        <v>19420</v>
      </c>
      <c r="H59" s="13">
        <f t="shared" si="6"/>
        <v>12900</v>
      </c>
      <c r="I59" s="56">
        <f t="shared" si="1"/>
        <v>12900</v>
      </c>
      <c r="J59" s="56">
        <f t="shared" si="2"/>
        <v>8900</v>
      </c>
      <c r="K59" s="88">
        <f t="shared" si="3"/>
        <v>15351</v>
      </c>
      <c r="L59" s="56">
        <f t="shared" si="4"/>
        <v>15400</v>
      </c>
      <c r="M59" s="56">
        <f t="shared" si="5"/>
        <v>10600</v>
      </c>
      <c r="N59" s="14">
        <f>IF(E59&gt;60000,0,VLOOKUP(D59,DropDownMenüs!$I$11:J62,2,FALSE))</f>
        <v>4000</v>
      </c>
      <c r="O59" s="41"/>
      <c r="P59" s="33"/>
      <c r="Q59" s="33"/>
    </row>
    <row r="60" spans="2:17">
      <c r="B60" s="3" t="s">
        <v>16</v>
      </c>
      <c r="C60" s="10" t="s">
        <v>212</v>
      </c>
      <c r="D60" s="49" t="s">
        <v>273</v>
      </c>
      <c r="E60" s="27">
        <v>23220</v>
      </c>
      <c r="F60" s="12" t="s">
        <v>251</v>
      </c>
      <c r="G60" s="53">
        <v>19420</v>
      </c>
      <c r="H60" s="13">
        <f t="shared" si="6"/>
        <v>3800</v>
      </c>
      <c r="I60" s="56">
        <f t="shared" si="1"/>
        <v>3800</v>
      </c>
      <c r="J60" s="56">
        <f t="shared" si="2"/>
        <v>0</v>
      </c>
      <c r="K60" s="88">
        <f t="shared" si="3"/>
        <v>4522</v>
      </c>
      <c r="L60" s="56">
        <f t="shared" si="4"/>
        <v>4500</v>
      </c>
      <c r="M60" s="56">
        <f t="shared" si="5"/>
        <v>0</v>
      </c>
      <c r="N60" s="14">
        <f>IF(E60&gt;60000,0,VLOOKUP(D60,DropDownMenüs!$I$11:J63,2,FALSE))</f>
        <v>4000</v>
      </c>
      <c r="O60" s="41"/>
      <c r="P60" s="33"/>
      <c r="Q60" s="33"/>
    </row>
    <row r="61" spans="2:17">
      <c r="B61" s="3" t="s">
        <v>16</v>
      </c>
      <c r="C61" s="10" t="s">
        <v>213</v>
      </c>
      <c r="D61" s="49" t="s">
        <v>273</v>
      </c>
      <c r="E61" s="27">
        <v>22820</v>
      </c>
      <c r="F61" s="12" t="s">
        <v>250</v>
      </c>
      <c r="G61" s="53">
        <v>19120</v>
      </c>
      <c r="H61" s="13">
        <f t="shared" si="6"/>
        <v>3700</v>
      </c>
      <c r="I61" s="56">
        <f t="shared" si="1"/>
        <v>3700</v>
      </c>
      <c r="J61" s="56">
        <f t="shared" si="2"/>
        <v>0</v>
      </c>
      <c r="K61" s="88">
        <f t="shared" si="3"/>
        <v>4403</v>
      </c>
      <c r="L61" s="56">
        <f t="shared" si="4"/>
        <v>4400</v>
      </c>
      <c r="M61" s="56">
        <f t="shared" si="5"/>
        <v>0</v>
      </c>
      <c r="N61" s="14">
        <f>IF(E61&gt;60000,0,VLOOKUP(D61,DropDownMenüs!$I$11:J64,2,FALSE))</f>
        <v>4000</v>
      </c>
      <c r="O61" s="41"/>
      <c r="P61" s="33"/>
      <c r="Q61" s="33"/>
    </row>
    <row r="62" spans="2:17">
      <c r="B62" s="3" t="s">
        <v>5</v>
      </c>
      <c r="C62" s="10" t="s">
        <v>214</v>
      </c>
      <c r="D62" s="49" t="s">
        <v>273</v>
      </c>
      <c r="E62" s="27">
        <v>18991.599999999999</v>
      </c>
      <c r="F62" s="12" t="s">
        <v>252</v>
      </c>
      <c r="G62" s="53">
        <v>9886.5499999999993</v>
      </c>
      <c r="H62" s="13">
        <f t="shared" si="6"/>
        <v>9105.0499999999993</v>
      </c>
      <c r="I62" s="56">
        <f t="shared" si="1"/>
        <v>9100</v>
      </c>
      <c r="J62" s="56">
        <f t="shared" si="2"/>
        <v>5100</v>
      </c>
      <c r="K62" s="88">
        <f t="shared" si="3"/>
        <v>10835.009499999998</v>
      </c>
      <c r="L62" s="56">
        <f t="shared" si="4"/>
        <v>10800</v>
      </c>
      <c r="M62" s="56">
        <f t="shared" si="5"/>
        <v>6100</v>
      </c>
      <c r="N62" s="14">
        <f>IF(E62&gt;60000,0,VLOOKUP(D62,DropDownMenüs!$I$11:J65,2,FALSE))</f>
        <v>4000</v>
      </c>
      <c r="O62" s="41"/>
      <c r="P62" s="33"/>
      <c r="Q62" s="33"/>
    </row>
    <row r="63" spans="2:17">
      <c r="B63" s="3" t="s">
        <v>5</v>
      </c>
      <c r="C63" s="10" t="s">
        <v>215</v>
      </c>
      <c r="D63" s="49" t="s">
        <v>273</v>
      </c>
      <c r="E63" s="27">
        <v>18436.97</v>
      </c>
      <c r="F63" s="12" t="s">
        <v>253</v>
      </c>
      <c r="G63" s="53">
        <v>9331.93</v>
      </c>
      <c r="H63" s="13">
        <f t="shared" si="6"/>
        <v>9105.0400000000009</v>
      </c>
      <c r="I63" s="56">
        <f t="shared" si="1"/>
        <v>9100</v>
      </c>
      <c r="J63" s="56">
        <f t="shared" si="2"/>
        <v>5100</v>
      </c>
      <c r="K63" s="88">
        <f t="shared" si="3"/>
        <v>10834.997600000001</v>
      </c>
      <c r="L63" s="56">
        <f t="shared" si="4"/>
        <v>10800</v>
      </c>
      <c r="M63" s="56">
        <f t="shared" si="5"/>
        <v>6100</v>
      </c>
      <c r="N63" s="14">
        <f>IF(E63&gt;60000,0,VLOOKUP(D63,DropDownMenüs!$I$11:J66,2,FALSE))</f>
        <v>4000</v>
      </c>
      <c r="O63" s="41"/>
      <c r="P63" s="33"/>
      <c r="Q63" s="33"/>
    </row>
    <row r="64" spans="2:17">
      <c r="B64" s="3" t="s">
        <v>16</v>
      </c>
      <c r="C64" s="10" t="s">
        <v>29</v>
      </c>
      <c r="D64" s="49" t="s">
        <v>273</v>
      </c>
      <c r="E64" s="27">
        <v>31950</v>
      </c>
      <c r="F64" s="12" t="s">
        <v>64</v>
      </c>
      <c r="G64" s="53">
        <v>15245</v>
      </c>
      <c r="H64" s="13">
        <f t="shared" si="6"/>
        <v>16705</v>
      </c>
      <c r="I64" s="56">
        <f t="shared" si="1"/>
        <v>16700</v>
      </c>
      <c r="J64" s="56">
        <f t="shared" si="2"/>
        <v>12700</v>
      </c>
      <c r="K64" s="88">
        <f t="shared" si="3"/>
        <v>19878.95</v>
      </c>
      <c r="L64" s="56">
        <f t="shared" si="4"/>
        <v>19900</v>
      </c>
      <c r="M64" s="56">
        <f t="shared" si="5"/>
        <v>15100</v>
      </c>
      <c r="N64" s="14">
        <f>IF(E64&gt;60000,0,VLOOKUP(D64,DropDownMenüs!$I$11:J67,2,FALSE))</f>
        <v>4000</v>
      </c>
      <c r="O64" s="41"/>
      <c r="P64" s="33"/>
      <c r="Q64" s="33"/>
    </row>
    <row r="65" spans="2:17">
      <c r="B65" s="3" t="s">
        <v>16</v>
      </c>
      <c r="C65" s="10" t="s">
        <v>30</v>
      </c>
      <c r="D65" s="49" t="s">
        <v>273</v>
      </c>
      <c r="E65" s="27">
        <v>38950</v>
      </c>
      <c r="F65" s="12" t="s">
        <v>254</v>
      </c>
      <c r="G65" s="53">
        <v>24230</v>
      </c>
      <c r="H65" s="13">
        <f t="shared" si="6"/>
        <v>14720</v>
      </c>
      <c r="I65" s="56">
        <f t="shared" si="1"/>
        <v>14700</v>
      </c>
      <c r="J65" s="56">
        <f t="shared" si="2"/>
        <v>10700</v>
      </c>
      <c r="K65" s="88">
        <f t="shared" si="3"/>
        <v>17516.8</v>
      </c>
      <c r="L65" s="56">
        <f t="shared" si="4"/>
        <v>17500</v>
      </c>
      <c r="M65" s="56">
        <f t="shared" si="5"/>
        <v>12800</v>
      </c>
      <c r="N65" s="14">
        <f>IF(E65&gt;60000,0,VLOOKUP(D65,DropDownMenüs!$I$11:J68,2,FALSE))</f>
        <v>4000</v>
      </c>
      <c r="O65" s="41"/>
      <c r="P65" s="33"/>
      <c r="Q65" s="33"/>
    </row>
    <row r="66" spans="2:17">
      <c r="B66" s="3" t="s">
        <v>9</v>
      </c>
      <c r="C66" s="10" t="s">
        <v>216</v>
      </c>
      <c r="D66" s="49" t="s">
        <v>273</v>
      </c>
      <c r="E66" s="27">
        <v>88504.2</v>
      </c>
      <c r="F66" s="12" t="s">
        <v>270</v>
      </c>
      <c r="G66" s="53">
        <v>70504.2</v>
      </c>
      <c r="H66" s="13">
        <f t="shared" si="6"/>
        <v>18000</v>
      </c>
      <c r="I66" s="56">
        <f t="shared" si="1"/>
        <v>18000</v>
      </c>
      <c r="J66" s="56">
        <f t="shared" si="2"/>
        <v>18000</v>
      </c>
      <c r="K66" s="88">
        <f t="shared" si="3"/>
        <v>21420</v>
      </c>
      <c r="L66" s="56">
        <f t="shared" si="4"/>
        <v>21400</v>
      </c>
      <c r="M66" s="56">
        <f t="shared" si="5"/>
        <v>21400</v>
      </c>
      <c r="N66" s="14">
        <f>IF(E66&gt;60000,0,VLOOKUP(D66,DropDownMenüs!$I$11:J69,2,FALSE))</f>
        <v>0</v>
      </c>
      <c r="O66" s="41"/>
      <c r="P66" s="33"/>
      <c r="Q66" s="33"/>
    </row>
    <row r="67" spans="2:17">
      <c r="B67" s="3" t="s">
        <v>9</v>
      </c>
      <c r="C67" s="10" t="s">
        <v>24</v>
      </c>
      <c r="D67" s="49" t="s">
        <v>273</v>
      </c>
      <c r="E67" s="27">
        <v>57999.16</v>
      </c>
      <c r="F67" s="12" t="s">
        <v>25</v>
      </c>
      <c r="G67" s="53">
        <v>44873.95</v>
      </c>
      <c r="H67" s="13">
        <f t="shared" si="6"/>
        <v>13125.210000000006</v>
      </c>
      <c r="I67" s="56">
        <f t="shared" si="1"/>
        <v>13100</v>
      </c>
      <c r="J67" s="56">
        <f t="shared" si="2"/>
        <v>9100</v>
      </c>
      <c r="K67" s="88">
        <f t="shared" si="3"/>
        <v>15618.999900000006</v>
      </c>
      <c r="L67" s="56">
        <f t="shared" si="4"/>
        <v>15600</v>
      </c>
      <c r="M67" s="56">
        <f t="shared" si="5"/>
        <v>10900</v>
      </c>
      <c r="N67" s="14">
        <f>IF(E67&gt;60000,0,VLOOKUP(D67,DropDownMenüs!$I$11:J70,2,FALSE))</f>
        <v>4000</v>
      </c>
      <c r="O67" s="41"/>
      <c r="P67" s="33"/>
      <c r="Q67" s="33"/>
    </row>
    <row r="68" spans="2:17">
      <c r="B68" s="3" t="s">
        <v>11</v>
      </c>
      <c r="C68" s="10" t="s">
        <v>217</v>
      </c>
      <c r="D68" s="49" t="s">
        <v>273</v>
      </c>
      <c r="E68" s="27">
        <v>93109.24</v>
      </c>
      <c r="F68" s="12" t="s">
        <v>34</v>
      </c>
      <c r="G68" s="53">
        <v>71764.710000000006</v>
      </c>
      <c r="H68" s="13">
        <f t="shared" si="6"/>
        <v>21344.53</v>
      </c>
      <c r="I68" s="56">
        <f t="shared" si="1"/>
        <v>21300</v>
      </c>
      <c r="J68" s="56">
        <f t="shared" si="2"/>
        <v>21300</v>
      </c>
      <c r="K68" s="88">
        <f t="shared" si="3"/>
        <v>25399.990699999998</v>
      </c>
      <c r="L68" s="56">
        <f t="shared" si="4"/>
        <v>25400</v>
      </c>
      <c r="M68" s="56">
        <f t="shared" si="5"/>
        <v>25400</v>
      </c>
      <c r="N68" s="14">
        <f>IF(E68&gt;60000,0,VLOOKUP(D68,DropDownMenüs!$I$11:J71,2,FALSE))</f>
        <v>0</v>
      </c>
      <c r="O68" s="41"/>
      <c r="P68" s="33"/>
      <c r="Q68" s="33"/>
    </row>
    <row r="69" spans="2:17">
      <c r="B69" s="3" t="s">
        <v>11</v>
      </c>
      <c r="C69" s="10" t="s">
        <v>32</v>
      </c>
      <c r="D69" s="49" t="s">
        <v>273</v>
      </c>
      <c r="E69" s="27">
        <v>76680.67</v>
      </c>
      <c r="F69" s="12" t="s">
        <v>33</v>
      </c>
      <c r="G69" s="53">
        <v>55798.32</v>
      </c>
      <c r="H69" s="13">
        <f t="shared" si="6"/>
        <v>20882.349999999999</v>
      </c>
      <c r="I69" s="56">
        <f t="shared" si="1"/>
        <v>20900</v>
      </c>
      <c r="J69" s="56">
        <f t="shared" si="2"/>
        <v>20900</v>
      </c>
      <c r="K69" s="88">
        <f t="shared" si="3"/>
        <v>24849.996499999997</v>
      </c>
      <c r="L69" s="56">
        <f t="shared" si="4"/>
        <v>24800</v>
      </c>
      <c r="M69" s="56">
        <f t="shared" si="5"/>
        <v>24800</v>
      </c>
      <c r="N69" s="14">
        <f>IF(E69&gt;60000,0,VLOOKUP(D69,DropDownMenüs!$I$11:J72,2,FALSE))</f>
        <v>0</v>
      </c>
      <c r="O69" s="41"/>
      <c r="P69" s="33"/>
      <c r="Q69" s="33"/>
    </row>
    <row r="70" spans="2:17">
      <c r="B70" s="3" t="s">
        <v>7</v>
      </c>
      <c r="C70" s="10" t="s">
        <v>218</v>
      </c>
      <c r="D70" s="49" t="s">
        <v>272</v>
      </c>
      <c r="E70" s="27">
        <v>31554.62</v>
      </c>
      <c r="F70" s="12" t="s">
        <v>255</v>
      </c>
      <c r="G70" s="53">
        <v>22075.63025210084</v>
      </c>
      <c r="H70" s="13">
        <f t="shared" si="6"/>
        <v>9478.9897478991588</v>
      </c>
      <c r="I70" s="56">
        <f t="shared" si="1"/>
        <v>9500</v>
      </c>
      <c r="J70" s="56">
        <f t="shared" si="2"/>
        <v>6500</v>
      </c>
      <c r="K70" s="88">
        <f t="shared" si="3"/>
        <v>11279.997799999999</v>
      </c>
      <c r="L70" s="56">
        <f t="shared" si="4"/>
        <v>11300</v>
      </c>
      <c r="M70" s="56">
        <f t="shared" si="5"/>
        <v>7700</v>
      </c>
      <c r="N70" s="14">
        <f>IF(E70&gt;60000,0,VLOOKUP(D70,DropDownMenüs!$I$11:J73,2,FALSE))</f>
        <v>3000</v>
      </c>
      <c r="O70" s="41"/>
      <c r="P70" s="33"/>
      <c r="Q70" s="33"/>
    </row>
    <row r="71" spans="2:17">
      <c r="B71" s="3" t="s">
        <v>7</v>
      </c>
      <c r="C71" s="10" t="s">
        <v>114</v>
      </c>
      <c r="D71" s="49" t="s">
        <v>273</v>
      </c>
      <c r="E71" s="27">
        <v>30168.07</v>
      </c>
      <c r="F71" s="12" t="s">
        <v>256</v>
      </c>
      <c r="G71" s="53">
        <v>21008.403361344539</v>
      </c>
      <c r="H71" s="13">
        <f t="shared" si="6"/>
        <v>9159.6666386554607</v>
      </c>
      <c r="I71" s="56">
        <f t="shared" si="1"/>
        <v>9200</v>
      </c>
      <c r="J71" s="56">
        <f t="shared" si="2"/>
        <v>5200</v>
      </c>
      <c r="K71" s="88">
        <f t="shared" si="3"/>
        <v>10900.003299999998</v>
      </c>
      <c r="L71" s="56">
        <f t="shared" si="4"/>
        <v>10900</v>
      </c>
      <c r="M71" s="56">
        <f t="shared" si="5"/>
        <v>6100</v>
      </c>
      <c r="N71" s="14">
        <f>IF(E71&gt;60000,0,VLOOKUP(D71,DropDownMenüs!$I$11:J74,2,FALSE))</f>
        <v>4000</v>
      </c>
      <c r="O71" s="41"/>
      <c r="P71" s="33"/>
    </row>
    <row r="72" spans="2:17">
      <c r="B72" s="3" t="s">
        <v>5</v>
      </c>
      <c r="C72" s="10" t="s">
        <v>36</v>
      </c>
      <c r="D72" s="49" t="s">
        <v>273</v>
      </c>
      <c r="E72" s="27">
        <v>23105.040000000001</v>
      </c>
      <c r="F72" s="12" t="s">
        <v>257</v>
      </c>
      <c r="G72" s="53">
        <v>10000</v>
      </c>
      <c r="H72" s="13">
        <f t="shared" si="6"/>
        <v>13105.04</v>
      </c>
      <c r="I72" s="56">
        <f t="shared" si="1"/>
        <v>13100</v>
      </c>
      <c r="J72" s="56">
        <f t="shared" si="2"/>
        <v>9100</v>
      </c>
      <c r="K72" s="88">
        <f t="shared" si="3"/>
        <v>15594.997600000001</v>
      </c>
      <c r="L72" s="56">
        <f t="shared" si="4"/>
        <v>15600</v>
      </c>
      <c r="M72" s="56">
        <f t="shared" si="5"/>
        <v>10800</v>
      </c>
      <c r="N72" s="14">
        <f>IF(E72&gt;60000,0,VLOOKUP(D72,DropDownMenüs!$I$11:J75,2,FALSE))</f>
        <v>4000</v>
      </c>
      <c r="O72" s="41"/>
      <c r="P72" s="33"/>
    </row>
    <row r="73" spans="2:17">
      <c r="B73" s="3" t="s">
        <v>5</v>
      </c>
      <c r="C73" s="10" t="s">
        <v>219</v>
      </c>
      <c r="D73" s="49" t="s">
        <v>273</v>
      </c>
      <c r="E73" s="27">
        <v>22605.040000000001</v>
      </c>
      <c r="F73" s="12" t="s">
        <v>257</v>
      </c>
      <c r="G73" s="53">
        <v>10000</v>
      </c>
      <c r="H73" s="13">
        <f t="shared" ref="H73:H80" si="7">+E73-G73</f>
        <v>12605.04</v>
      </c>
      <c r="I73" s="56">
        <f t="shared" si="1"/>
        <v>12600</v>
      </c>
      <c r="J73" s="56">
        <f t="shared" si="2"/>
        <v>8600</v>
      </c>
      <c r="K73" s="88">
        <f t="shared" si="3"/>
        <v>14999.997600000001</v>
      </c>
      <c r="L73" s="56">
        <f t="shared" si="4"/>
        <v>15000</v>
      </c>
      <c r="M73" s="56">
        <f t="shared" si="5"/>
        <v>10200</v>
      </c>
      <c r="N73" s="14">
        <f>IF(E73&gt;60000,0,VLOOKUP(D73,DropDownMenüs!$I$11:J76,2,FALSE))</f>
        <v>4000</v>
      </c>
      <c r="O73" s="41"/>
      <c r="P73" s="33"/>
    </row>
    <row r="74" spans="2:17">
      <c r="B74" s="3" t="s">
        <v>7</v>
      </c>
      <c r="C74" s="10" t="s">
        <v>113</v>
      </c>
      <c r="D74" s="49" t="s">
        <v>272</v>
      </c>
      <c r="E74" s="27">
        <v>31008.400000000001</v>
      </c>
      <c r="F74" s="12" t="s">
        <v>258</v>
      </c>
      <c r="G74" s="53">
        <v>22436.974789915967</v>
      </c>
      <c r="H74" s="13">
        <f t="shared" si="7"/>
        <v>8571.4252100840349</v>
      </c>
      <c r="I74" s="56">
        <f t="shared" ref="I74:I79" si="8">+ROUND(H74*(1-$I$3),-2)</f>
        <v>8600</v>
      </c>
      <c r="J74" s="56">
        <f t="shared" ref="J74:J80" si="9">IF(I74-N74&gt;0,I74-N74,0)</f>
        <v>5600</v>
      </c>
      <c r="K74" s="88">
        <f t="shared" ref="K74:K80" si="10">H74*1.19</f>
        <v>10199.996000000001</v>
      </c>
      <c r="L74" s="56">
        <f t="shared" ref="L74:L80" si="11">+ROUND(K74*(1-$I$3),-2)</f>
        <v>10200</v>
      </c>
      <c r="M74" s="56">
        <f t="shared" ref="M74:M80" si="12">IF(E74-N74-G74&gt;0,ROUND((E74-N74-G74)*1.19*(1-$I$3),-2),0)</f>
        <v>6600</v>
      </c>
      <c r="N74" s="14">
        <f>IF(E74&gt;60000,0,VLOOKUP(D74,DropDownMenüs!$I$11:J77,2,FALSE))</f>
        <v>3000</v>
      </c>
      <c r="O74" s="41"/>
      <c r="P74" s="33"/>
    </row>
    <row r="75" spans="2:17">
      <c r="B75" s="3" t="s">
        <v>8</v>
      </c>
      <c r="C75" s="10" t="s">
        <v>220</v>
      </c>
      <c r="D75" s="49" t="s">
        <v>272</v>
      </c>
      <c r="E75" s="27">
        <v>37184.870000000003</v>
      </c>
      <c r="F75" s="12" t="s">
        <v>259</v>
      </c>
      <c r="G75" s="53">
        <v>28466.39</v>
      </c>
      <c r="H75" s="13">
        <f t="shared" si="7"/>
        <v>8718.4800000000032</v>
      </c>
      <c r="I75" s="56">
        <f t="shared" si="8"/>
        <v>8700</v>
      </c>
      <c r="J75" s="56">
        <f t="shared" si="9"/>
        <v>5700</v>
      </c>
      <c r="K75" s="88">
        <f t="shared" si="10"/>
        <v>10374.991200000004</v>
      </c>
      <c r="L75" s="56">
        <f t="shared" si="11"/>
        <v>10400</v>
      </c>
      <c r="M75" s="56">
        <f t="shared" si="12"/>
        <v>6800</v>
      </c>
      <c r="N75" s="14">
        <f>IF(E75&gt;60000,0,VLOOKUP(D75,DropDownMenüs!$I$11:J78,2,FALSE))</f>
        <v>3000</v>
      </c>
      <c r="O75" s="41"/>
      <c r="P75" s="33"/>
    </row>
    <row r="76" spans="2:17">
      <c r="B76" s="3" t="s">
        <v>9</v>
      </c>
      <c r="C76" s="10" t="s">
        <v>221</v>
      </c>
      <c r="D76" s="49" t="s">
        <v>272</v>
      </c>
      <c r="E76" s="27">
        <v>58184.87</v>
      </c>
      <c r="F76" s="12" t="s">
        <v>260</v>
      </c>
      <c r="G76" s="53">
        <v>48781.51</v>
      </c>
      <c r="H76" s="13">
        <f t="shared" si="7"/>
        <v>9403.36</v>
      </c>
      <c r="I76" s="56">
        <f t="shared" si="8"/>
        <v>9400</v>
      </c>
      <c r="J76" s="56">
        <f t="shared" si="9"/>
        <v>6400</v>
      </c>
      <c r="K76" s="88">
        <f t="shared" si="10"/>
        <v>11189.9984</v>
      </c>
      <c r="L76" s="56">
        <f t="shared" si="11"/>
        <v>11200</v>
      </c>
      <c r="M76" s="56">
        <f t="shared" si="12"/>
        <v>7600</v>
      </c>
      <c r="N76" s="14">
        <f>IF(E76&gt;60000,0,VLOOKUP(D76,DropDownMenüs!$I$11:J79,2,FALSE))</f>
        <v>3000</v>
      </c>
      <c r="O76" s="41"/>
      <c r="P76" s="33"/>
    </row>
    <row r="77" spans="2:17">
      <c r="B77" s="3" t="s">
        <v>8</v>
      </c>
      <c r="C77" s="10" t="s">
        <v>222</v>
      </c>
      <c r="D77" s="49" t="s">
        <v>272</v>
      </c>
      <c r="E77" s="27">
        <v>48109.24</v>
      </c>
      <c r="F77" s="12" t="s">
        <v>261</v>
      </c>
      <c r="G77" s="53">
        <v>37899.160000000003</v>
      </c>
      <c r="H77" s="13">
        <f t="shared" si="7"/>
        <v>10210.079999999994</v>
      </c>
      <c r="I77" s="56">
        <f t="shared" si="8"/>
        <v>10200</v>
      </c>
      <c r="J77" s="56">
        <f t="shared" si="9"/>
        <v>7200</v>
      </c>
      <c r="K77" s="88">
        <f t="shared" si="10"/>
        <v>12149.995199999992</v>
      </c>
      <c r="L77" s="56">
        <f t="shared" si="11"/>
        <v>12100</v>
      </c>
      <c r="M77" s="56">
        <f t="shared" si="12"/>
        <v>8600</v>
      </c>
      <c r="N77" s="14">
        <f>IF(E77&gt;60000,0,VLOOKUP(D77,DropDownMenüs!$I$11:J80,2,FALSE))</f>
        <v>3000</v>
      </c>
      <c r="O77" s="41"/>
      <c r="P77" s="33"/>
    </row>
    <row r="78" spans="2:17">
      <c r="B78" s="3" t="s">
        <v>9</v>
      </c>
      <c r="C78" s="10" t="s">
        <v>300</v>
      </c>
      <c r="D78" s="49" t="s">
        <v>272</v>
      </c>
      <c r="E78" s="27">
        <v>61176.47</v>
      </c>
      <c r="F78" s="12" t="s">
        <v>262</v>
      </c>
      <c r="G78" s="53">
        <v>51344.54</v>
      </c>
      <c r="H78" s="13">
        <f t="shared" si="7"/>
        <v>9831.93</v>
      </c>
      <c r="I78" s="56">
        <f t="shared" si="8"/>
        <v>9800</v>
      </c>
      <c r="J78" s="56">
        <f t="shared" si="9"/>
        <v>9800</v>
      </c>
      <c r="K78" s="88">
        <f t="shared" si="10"/>
        <v>11699.9967</v>
      </c>
      <c r="L78" s="56">
        <f t="shared" si="11"/>
        <v>11700</v>
      </c>
      <c r="M78" s="56">
        <f t="shared" si="12"/>
        <v>11700</v>
      </c>
      <c r="N78" s="14">
        <f>IF(E78&gt;60000,0,VLOOKUP(D78,DropDownMenüs!$I$11:J81,2,FALSE))</f>
        <v>0</v>
      </c>
      <c r="O78" s="41"/>
      <c r="P78" s="33"/>
    </row>
    <row r="79" spans="2:17">
      <c r="B79" s="3" t="s">
        <v>12</v>
      </c>
      <c r="C79" s="10" t="s">
        <v>299</v>
      </c>
      <c r="D79" s="49" t="s">
        <v>272</v>
      </c>
      <c r="E79" s="11">
        <v>56302.52</v>
      </c>
      <c r="F79" s="12" t="s">
        <v>263</v>
      </c>
      <c r="G79" s="54">
        <v>46638.66</v>
      </c>
      <c r="H79" s="13">
        <f t="shared" si="7"/>
        <v>9663.8599999999933</v>
      </c>
      <c r="I79" s="56">
        <f t="shared" si="8"/>
        <v>9700</v>
      </c>
      <c r="J79" s="56">
        <f t="shared" si="9"/>
        <v>6700</v>
      </c>
      <c r="K79" s="88">
        <f t="shared" si="10"/>
        <v>11499.993399999992</v>
      </c>
      <c r="L79" s="56">
        <f t="shared" si="11"/>
        <v>11500</v>
      </c>
      <c r="M79" s="56">
        <f t="shared" si="12"/>
        <v>7900</v>
      </c>
      <c r="N79" s="14">
        <f>IF(E79&gt;60000,0,VLOOKUP(D79,DropDownMenüs!$I$11:J82,2,FALSE))</f>
        <v>3000</v>
      </c>
      <c r="O79" s="41"/>
      <c r="P79" s="33"/>
    </row>
    <row r="80" spans="2:17">
      <c r="B80" s="3" t="s">
        <v>12</v>
      </c>
      <c r="C80" s="10" t="s">
        <v>223</v>
      </c>
      <c r="D80" s="49" t="s">
        <v>272</v>
      </c>
      <c r="E80" s="11">
        <v>62731.09</v>
      </c>
      <c r="F80" s="12" t="s">
        <v>264</v>
      </c>
      <c r="G80" s="54">
        <v>52815.13</v>
      </c>
      <c r="H80" s="13">
        <f t="shared" si="7"/>
        <v>9915.9599999999991</v>
      </c>
      <c r="I80" s="56">
        <f t="shared" ref="I80" si="13">+ROUND(H80*(1-$I$3),-2)</f>
        <v>9900</v>
      </c>
      <c r="J80" s="56">
        <f t="shared" si="9"/>
        <v>9900</v>
      </c>
      <c r="K80" s="88">
        <f t="shared" si="10"/>
        <v>11799.992399999999</v>
      </c>
      <c r="L80" s="56">
        <f t="shared" si="11"/>
        <v>11800</v>
      </c>
      <c r="M80" s="56">
        <f t="shared" si="12"/>
        <v>11800</v>
      </c>
      <c r="N80" s="14">
        <f>IF(E80&gt;60000,0,VLOOKUP(D80,DropDownMenüs!$I$11:J83,2,FALSE))</f>
        <v>0</v>
      </c>
      <c r="O80" s="41"/>
      <c r="P80" s="33"/>
    </row>
    <row r="81" spans="2:16">
      <c r="B81" s="3"/>
      <c r="C81" s="10"/>
      <c r="D81" s="49"/>
      <c r="E81" s="11"/>
      <c r="F81" s="12"/>
      <c r="G81" s="54"/>
      <c r="H81" s="13"/>
      <c r="I81" s="56"/>
      <c r="J81" s="56"/>
      <c r="K81" s="88"/>
      <c r="L81" s="88"/>
      <c r="M81" s="88"/>
      <c r="N81" s="14"/>
      <c r="O81" s="41"/>
      <c r="P81" s="33"/>
    </row>
    <row r="82" spans="2:16">
      <c r="B82" s="3"/>
      <c r="C82" s="10"/>
      <c r="D82" s="49"/>
      <c r="E82" s="11"/>
      <c r="F82" s="12"/>
      <c r="G82" s="54"/>
      <c r="H82" s="13"/>
      <c r="I82" s="56"/>
      <c r="J82" s="56"/>
      <c r="K82" s="88"/>
      <c r="L82" s="88"/>
      <c r="M82" s="88"/>
      <c r="N82" s="14"/>
      <c r="O82" s="41"/>
      <c r="P82" s="33"/>
    </row>
    <row r="83" spans="2:16">
      <c r="B83" s="3"/>
      <c r="C83" s="10"/>
      <c r="D83" s="49"/>
      <c r="E83" s="11"/>
      <c r="F83" s="12"/>
      <c r="G83" s="54"/>
      <c r="H83" s="13"/>
      <c r="I83" s="56"/>
      <c r="J83" s="56"/>
      <c r="K83" s="88"/>
      <c r="L83" s="88"/>
      <c r="M83" s="88"/>
      <c r="N83" s="14"/>
      <c r="O83" s="41"/>
      <c r="P83" s="33"/>
    </row>
    <row r="84" spans="2:16">
      <c r="B84" s="3"/>
      <c r="C84" s="10"/>
      <c r="D84" s="49"/>
      <c r="E84" s="11"/>
      <c r="F84" s="12"/>
      <c r="G84" s="54"/>
      <c r="H84" s="13"/>
      <c r="I84" s="56"/>
      <c r="J84" s="56"/>
      <c r="K84" s="88"/>
      <c r="L84" s="88"/>
      <c r="M84" s="88"/>
      <c r="N84" s="14"/>
      <c r="O84" s="41"/>
      <c r="P84" s="33"/>
    </row>
    <row r="85" spans="2:16" ht="15.75" thickBot="1">
      <c r="B85" s="4"/>
      <c r="C85" s="28"/>
      <c r="D85" s="50"/>
      <c r="E85" s="29"/>
      <c r="F85" s="30"/>
      <c r="G85" s="55"/>
      <c r="H85" s="31"/>
      <c r="I85" s="58"/>
      <c r="J85" s="58"/>
      <c r="K85" s="89"/>
      <c r="L85" s="89"/>
      <c r="M85" s="89"/>
      <c r="N85" s="32"/>
      <c r="O85" s="41"/>
      <c r="P85" s="33"/>
    </row>
    <row r="86" spans="2:16">
      <c r="B86" s="1"/>
      <c r="C86" s="1"/>
      <c r="D86" s="1"/>
      <c r="E86" s="1"/>
      <c r="F86" s="1"/>
      <c r="G86" s="1"/>
      <c r="H86" s="1"/>
      <c r="I86" s="1"/>
      <c r="J86" s="1"/>
      <c r="K86" s="1"/>
      <c r="L86" s="1"/>
      <c r="M86" s="1"/>
      <c r="N86" s="1"/>
      <c r="O86" s="41"/>
      <c r="P86" s="33"/>
    </row>
    <row r="87" spans="2:16" hidden="1">
      <c r="B87" s="1"/>
      <c r="C87" s="1"/>
      <c r="D87" s="1"/>
      <c r="E87" s="1"/>
      <c r="F87" s="1"/>
      <c r="G87" s="1"/>
      <c r="H87" s="1"/>
      <c r="I87" s="1"/>
      <c r="J87" s="1"/>
      <c r="K87" s="1"/>
      <c r="L87" s="1"/>
      <c r="M87" s="1"/>
      <c r="N87" s="1"/>
      <c r="O87" s="38"/>
    </row>
    <row r="88" spans="2:16"/>
    <row r="89" spans="2:16"/>
    <row r="90" spans="2:16">
      <c r="D90" s="190" t="s">
        <v>322</v>
      </c>
      <c r="E90" s="197">
        <v>25000</v>
      </c>
      <c r="F90" s="191"/>
      <c r="G90" s="198">
        <v>10000</v>
      </c>
      <c r="H90" s="192">
        <f>+E90-G90</f>
        <v>15000</v>
      </c>
      <c r="I90" s="193">
        <f>+ROUND(H90*(1-$I$3),-2)</f>
        <v>15000</v>
      </c>
      <c r="J90" s="196">
        <f>IF(I90-N90&gt;0,I90-N90,0)</f>
        <v>11000</v>
      </c>
      <c r="K90" s="194">
        <f>H90*1.19</f>
        <v>17850</v>
      </c>
      <c r="L90" s="193">
        <f>+ROUND(K90*(1-$I$3),-2)</f>
        <v>17900</v>
      </c>
      <c r="M90" s="196">
        <f>IF(E90-N90-G90&gt;0,((E90-N90-G90)*1.19*(1-$I$3)),0)</f>
        <v>13090</v>
      </c>
      <c r="N90" s="195">
        <v>4000</v>
      </c>
    </row>
    <row r="91" spans="2:16"/>
    <row r="92" spans="2:16"/>
    <row r="93" spans="2:16"/>
    <row r="94" spans="2:16"/>
    <row r="95" spans="2:16"/>
    <row r="96" spans="2:16"/>
    <row r="97"/>
  </sheetData>
  <autoFilter ref="A7:P80"/>
  <customSheetViews>
    <customSheetView guid="{41A31638-5241-47B1-A775-10C3959D1DD6}" fitToPage="1" hiddenRows="1" state="hidden">
      <selection activeCell="G66" sqref="G66"/>
      <pageMargins left="0.25" right="0.25" top="0.75" bottom="0.75" header="0.3" footer="0.3"/>
      <pageSetup paperSize="9" scale="53" orientation="portrait" r:id="rId1"/>
    </customSheetView>
  </customSheetViews>
  <conditionalFormatting sqref="H9:H85 H90">
    <cfRule type="cellIs" dxfId="0" priority="5" operator="lessThan">
      <formula>0</formula>
    </cfRule>
  </conditionalFormatting>
  <pageMargins left="0.25" right="0.25" top="0.75" bottom="0.75" header="0.3" footer="0.3"/>
  <pageSetup paperSize="9" scale="53"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DropDownMenüs!$C$10:$C$23</xm:f>
          </x14:formula1>
          <xm:sqref>B8:B85</xm:sqref>
        </x14:dataValidation>
        <x14:dataValidation type="list" allowBlank="1" showInputMessage="1" showErrorMessage="1">
          <x14:formula1>
            <xm:f>DropDownMenüs!$I$11:$I$13</xm:f>
          </x14:formula1>
          <xm:sqref>D8:D85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1"/>
  <sheetViews>
    <sheetView topLeftCell="J1" zoomScaleNormal="100" workbookViewId="0">
      <selection activeCell="D21" sqref="D21"/>
    </sheetView>
  </sheetViews>
  <sheetFormatPr baseColWidth="10" defaultRowHeight="14.25"/>
  <cols>
    <col min="2" max="2" width="40.375" customWidth="1"/>
    <col min="10" max="10" width="55.5" customWidth="1"/>
    <col min="12" max="12" width="13.5" customWidth="1"/>
  </cols>
  <sheetData>
    <row r="1" spans="2:16">
      <c r="B1" s="1"/>
      <c r="C1" s="1"/>
      <c r="D1" s="1"/>
      <c r="E1" s="1"/>
      <c r="F1" s="1"/>
      <c r="G1" s="1"/>
      <c r="H1" s="1"/>
      <c r="I1" s="1"/>
    </row>
    <row r="2" spans="2:16">
      <c r="B2" s="1"/>
      <c r="C2" s="1"/>
      <c r="D2" s="1"/>
      <c r="E2" s="1"/>
      <c r="F2" s="1"/>
      <c r="G2" s="1"/>
      <c r="H2" s="1"/>
      <c r="I2" s="1"/>
    </row>
    <row r="3" spans="2:16" ht="15">
      <c r="B3" s="9" t="s">
        <v>111</v>
      </c>
      <c r="C3" s="1"/>
      <c r="D3" s="1"/>
      <c r="E3" s="1"/>
      <c r="F3" s="1"/>
      <c r="G3" s="34" t="s">
        <v>60</v>
      </c>
      <c r="H3" s="34"/>
      <c r="I3" s="35">
        <v>0</v>
      </c>
    </row>
    <row r="4" spans="2:16">
      <c r="C4" s="1"/>
      <c r="D4" s="1"/>
      <c r="E4" s="1"/>
      <c r="F4" s="1"/>
      <c r="G4" s="1"/>
      <c r="H4" s="1"/>
      <c r="I4" s="1"/>
    </row>
    <row r="5" spans="2:16" ht="15">
      <c r="B5" s="9"/>
      <c r="C5" s="1"/>
      <c r="D5" s="1"/>
      <c r="E5" s="1"/>
      <c r="F5" s="1"/>
      <c r="I5" s="15" t="s">
        <v>40</v>
      </c>
    </row>
    <row r="6" spans="2:16" ht="15" thickBot="1">
      <c r="B6" s="1">
        <v>1</v>
      </c>
      <c r="C6" s="1">
        <v>2</v>
      </c>
      <c r="D6" s="1">
        <v>3</v>
      </c>
      <c r="E6" s="1">
        <v>4</v>
      </c>
      <c r="F6" s="1">
        <v>5</v>
      </c>
      <c r="G6" s="1">
        <v>6</v>
      </c>
      <c r="H6" s="1">
        <v>7</v>
      </c>
      <c r="I6" s="1">
        <v>8</v>
      </c>
      <c r="J6" s="1">
        <v>9</v>
      </c>
      <c r="K6" s="1">
        <v>10</v>
      </c>
      <c r="L6" s="1">
        <v>11</v>
      </c>
      <c r="M6" s="1">
        <v>12</v>
      </c>
      <c r="N6" s="1">
        <v>13</v>
      </c>
      <c r="O6" s="1">
        <v>14</v>
      </c>
    </row>
    <row r="7" spans="2:16" ht="45">
      <c r="B7" s="2" t="s">
        <v>70</v>
      </c>
      <c r="C7" s="5" t="s">
        <v>71</v>
      </c>
      <c r="D7" s="6" t="s">
        <v>72</v>
      </c>
      <c r="E7" s="5" t="s">
        <v>73</v>
      </c>
      <c r="F7" s="7" t="s">
        <v>74</v>
      </c>
      <c r="G7" s="5" t="s">
        <v>75</v>
      </c>
      <c r="H7" s="37" t="s">
        <v>104</v>
      </c>
      <c r="I7" s="8" t="s">
        <v>76</v>
      </c>
      <c r="J7" s="8" t="s">
        <v>77</v>
      </c>
      <c r="K7" s="8" t="s">
        <v>78</v>
      </c>
      <c r="L7" s="8" t="s">
        <v>95</v>
      </c>
      <c r="M7" s="8" t="s">
        <v>96</v>
      </c>
      <c r="N7" s="36" t="s">
        <v>97</v>
      </c>
      <c r="O7" s="36" t="s">
        <v>98</v>
      </c>
    </row>
    <row r="8" spans="2:16">
      <c r="B8" t="s">
        <v>102</v>
      </c>
      <c r="C8" t="s">
        <v>80</v>
      </c>
      <c r="D8" t="s">
        <v>81</v>
      </c>
      <c r="F8" t="s">
        <v>82</v>
      </c>
      <c r="G8" t="s">
        <v>82</v>
      </c>
      <c r="H8">
        <v>1</v>
      </c>
      <c r="I8" t="s">
        <v>83</v>
      </c>
      <c r="J8" t="s">
        <v>84</v>
      </c>
      <c r="K8" s="33">
        <v>789.08</v>
      </c>
      <c r="L8" s="14">
        <f>+ROUND(K8*(1-$I$3),-2)</f>
        <v>800</v>
      </c>
      <c r="N8" s="14">
        <v>500</v>
      </c>
      <c r="P8" s="33"/>
    </row>
    <row r="9" spans="2:16">
      <c r="B9" t="s">
        <v>103</v>
      </c>
      <c r="C9" t="s">
        <v>80</v>
      </c>
      <c r="D9" t="s">
        <v>81</v>
      </c>
      <c r="F9" t="s">
        <v>86</v>
      </c>
      <c r="G9" t="s">
        <v>86</v>
      </c>
      <c r="H9">
        <v>1</v>
      </c>
      <c r="I9" t="s">
        <v>83</v>
      </c>
      <c r="J9" t="s">
        <v>89</v>
      </c>
      <c r="K9" s="33">
        <v>1032.77</v>
      </c>
      <c r="L9" s="14">
        <f t="shared" ref="L9:L13" si="0">+ROUND(K9*(1-$I$3),-2)</f>
        <v>1000</v>
      </c>
      <c r="N9" s="14">
        <v>500</v>
      </c>
      <c r="P9" s="33"/>
    </row>
    <row r="10" spans="2:16">
      <c r="B10" t="s">
        <v>105</v>
      </c>
      <c r="C10" t="s">
        <v>80</v>
      </c>
      <c r="D10">
        <v>4.5999999999999996</v>
      </c>
      <c r="F10" t="s">
        <v>86</v>
      </c>
      <c r="G10" t="s">
        <v>82</v>
      </c>
      <c r="H10">
        <v>1</v>
      </c>
      <c r="I10" t="s">
        <v>100</v>
      </c>
      <c r="J10" t="s">
        <v>101</v>
      </c>
      <c r="K10" s="33">
        <f>(1236.98-249)/1.19</f>
        <v>830.23529411764707</v>
      </c>
      <c r="L10" s="14">
        <f>+ROUND(K10*(1-$I$3),-2)</f>
        <v>800</v>
      </c>
      <c r="M10">
        <f>249/1.19</f>
        <v>209.24369747899161</v>
      </c>
      <c r="N10" s="14">
        <f>+ROUND(M10*(1-$I$3),-2)</f>
        <v>200</v>
      </c>
      <c r="O10" t="s">
        <v>99</v>
      </c>
      <c r="P10" s="33"/>
    </row>
    <row r="11" spans="2:16">
      <c r="B11" t="s">
        <v>107</v>
      </c>
      <c r="C11" t="s">
        <v>80</v>
      </c>
      <c r="D11">
        <v>11</v>
      </c>
      <c r="E11" t="s">
        <v>86</v>
      </c>
      <c r="F11" t="s">
        <v>82</v>
      </c>
      <c r="G11" t="s">
        <v>82</v>
      </c>
      <c r="H11">
        <v>2</v>
      </c>
      <c r="I11" t="s">
        <v>90</v>
      </c>
      <c r="J11" t="s">
        <v>91</v>
      </c>
      <c r="K11" s="33">
        <v>5350</v>
      </c>
      <c r="L11" s="14">
        <f t="shared" si="0"/>
        <v>5400</v>
      </c>
      <c r="N11" s="14">
        <v>1000</v>
      </c>
      <c r="P11" s="33"/>
    </row>
    <row r="12" spans="2:16">
      <c r="B12" t="s">
        <v>108</v>
      </c>
      <c r="C12" t="s">
        <v>80</v>
      </c>
      <c r="D12">
        <v>22</v>
      </c>
      <c r="E12" t="s">
        <v>86</v>
      </c>
      <c r="F12" t="s">
        <v>82</v>
      </c>
      <c r="G12" t="s">
        <v>82</v>
      </c>
      <c r="H12">
        <v>2</v>
      </c>
      <c r="I12" t="s">
        <v>90</v>
      </c>
      <c r="J12" t="s">
        <v>92</v>
      </c>
      <c r="K12" s="33">
        <v>5750</v>
      </c>
      <c r="L12" s="14">
        <f t="shared" si="0"/>
        <v>5800</v>
      </c>
      <c r="N12" s="14">
        <v>1000</v>
      </c>
      <c r="P12" s="33"/>
    </row>
    <row r="13" spans="2:16">
      <c r="B13" t="s">
        <v>117</v>
      </c>
      <c r="C13" t="s">
        <v>80</v>
      </c>
      <c r="D13">
        <v>22</v>
      </c>
      <c r="F13" t="s">
        <v>86</v>
      </c>
      <c r="G13" t="s">
        <v>86</v>
      </c>
      <c r="H13">
        <v>2</v>
      </c>
      <c r="I13" t="s">
        <v>90</v>
      </c>
      <c r="J13" t="s">
        <v>94</v>
      </c>
      <c r="K13" s="33">
        <v>7260</v>
      </c>
      <c r="L13" s="14">
        <f t="shared" si="0"/>
        <v>7300</v>
      </c>
      <c r="N13" s="14">
        <v>1000</v>
      </c>
      <c r="P13" s="33"/>
    </row>
    <row r="20" spans="2:14">
      <c r="B20" t="s">
        <v>79</v>
      </c>
      <c r="C20" t="s">
        <v>80</v>
      </c>
      <c r="D20" t="s">
        <v>85</v>
      </c>
      <c r="F20" t="s">
        <v>86</v>
      </c>
      <c r="G20" t="s">
        <v>86</v>
      </c>
      <c r="I20" t="s">
        <v>87</v>
      </c>
      <c r="J20" t="s">
        <v>88</v>
      </c>
      <c r="K20" s="33">
        <v>949</v>
      </c>
      <c r="L20" s="14">
        <f>+ROUND(K20*(1-$I$3),-2)</f>
        <v>900</v>
      </c>
      <c r="N20" s="14">
        <f>+ROUND(M20*(1-$I$3),-2)</f>
        <v>0</v>
      </c>
    </row>
    <row r="21" spans="2:14">
      <c r="B21" t="s">
        <v>79</v>
      </c>
      <c r="C21" t="s">
        <v>80</v>
      </c>
      <c r="D21" t="s">
        <v>328</v>
      </c>
      <c r="F21" t="s">
        <v>86</v>
      </c>
      <c r="G21" t="s">
        <v>86</v>
      </c>
      <c r="I21" t="s">
        <v>90</v>
      </c>
      <c r="J21" t="s">
        <v>93</v>
      </c>
      <c r="K21" s="33">
        <v>2070</v>
      </c>
      <c r="L21" s="14">
        <f>+ROUND(K21*(1-$I$3),-2)</f>
        <v>2100</v>
      </c>
      <c r="N21" s="14">
        <f>+ROUND(M21*(1-$I$3),-2)</f>
        <v>0</v>
      </c>
    </row>
  </sheetData>
  <customSheetViews>
    <customSheetView guid="{41A31638-5241-47B1-A775-10C3959D1DD6}" state="hidden" topLeftCell="C1">
      <selection activeCell="G66" sqref="G66"/>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J23"/>
  <sheetViews>
    <sheetView zoomScaleNormal="100" workbookViewId="0">
      <selection activeCell="D21" sqref="D21"/>
    </sheetView>
  </sheetViews>
  <sheetFormatPr baseColWidth="10" defaultRowHeight="14.25"/>
  <cols>
    <col min="6" max="6" width="22.625" bestFit="1" customWidth="1"/>
    <col min="7" max="7" width="4.5" bestFit="1" customWidth="1"/>
    <col min="10" max="10" width="8.125" bestFit="1" customWidth="1"/>
  </cols>
  <sheetData>
    <row r="8" spans="3:10" ht="15">
      <c r="C8" s="23" t="s">
        <v>61</v>
      </c>
      <c r="D8" s="23"/>
      <c r="E8" s="23"/>
      <c r="F8" s="23" t="s">
        <v>62</v>
      </c>
      <c r="G8" s="23"/>
      <c r="I8" t="s">
        <v>274</v>
      </c>
    </row>
    <row r="9" spans="3:10" ht="15">
      <c r="C9" s="23" t="s">
        <v>4</v>
      </c>
      <c r="D9" s="23"/>
      <c r="E9" s="23"/>
      <c r="F9" s="23" t="s">
        <v>46</v>
      </c>
      <c r="G9" s="23" t="s">
        <v>58</v>
      </c>
    </row>
    <row r="10" spans="3:10" ht="15">
      <c r="C10" t="s">
        <v>5</v>
      </c>
      <c r="F10" s="23" t="s">
        <v>44</v>
      </c>
      <c r="G10" t="s">
        <v>59</v>
      </c>
      <c r="I10" t="s">
        <v>44</v>
      </c>
    </row>
    <row r="11" spans="3:10">
      <c r="C11" t="s">
        <v>6</v>
      </c>
      <c r="F11" s="16" t="s">
        <v>55</v>
      </c>
      <c r="G11" s="21">
        <v>0.6</v>
      </c>
      <c r="I11" t="s">
        <v>272</v>
      </c>
      <c r="J11" s="51">
        <v>3000</v>
      </c>
    </row>
    <row r="12" spans="3:10">
      <c r="C12" t="s">
        <v>7</v>
      </c>
      <c r="F12" s="16" t="s">
        <v>42</v>
      </c>
      <c r="G12" s="21">
        <v>0.5</v>
      </c>
      <c r="I12" t="s">
        <v>273</v>
      </c>
      <c r="J12" s="51">
        <v>4000</v>
      </c>
    </row>
    <row r="13" spans="3:10">
      <c r="C13" t="s">
        <v>8</v>
      </c>
      <c r="F13" s="16" t="s">
        <v>43</v>
      </c>
      <c r="G13" s="21">
        <v>0.4</v>
      </c>
      <c r="I13" t="s">
        <v>59</v>
      </c>
      <c r="J13" s="51">
        <v>0</v>
      </c>
    </row>
    <row r="14" spans="3:10">
      <c r="C14" t="s">
        <v>9</v>
      </c>
      <c r="G14" s="21"/>
      <c r="I14" t="s">
        <v>44</v>
      </c>
    </row>
    <row r="15" spans="3:10">
      <c r="C15" t="s">
        <v>10</v>
      </c>
      <c r="I15" t="s">
        <v>86</v>
      </c>
    </row>
    <row r="16" spans="3:10">
      <c r="C16" t="s">
        <v>11</v>
      </c>
      <c r="I16" t="s">
        <v>82</v>
      </c>
    </row>
    <row r="17" spans="3:4">
      <c r="C17" t="s">
        <v>12</v>
      </c>
    </row>
    <row r="18" spans="3:4">
      <c r="C18" t="s">
        <v>13</v>
      </c>
    </row>
    <row r="19" spans="3:4">
      <c r="C19" t="s">
        <v>14</v>
      </c>
    </row>
    <row r="20" spans="3:4">
      <c r="C20" t="s">
        <v>15</v>
      </c>
    </row>
    <row r="21" spans="3:4">
      <c r="C21" t="s">
        <v>16</v>
      </c>
      <c r="D21" t="s">
        <v>328</v>
      </c>
    </row>
    <row r="22" spans="3:4">
      <c r="C22" t="s">
        <v>17</v>
      </c>
    </row>
    <row r="23" spans="3:4">
      <c r="C23" t="s">
        <v>18</v>
      </c>
    </row>
  </sheetData>
  <customSheetViews>
    <customSheetView guid="{41A31638-5241-47B1-A775-10C3959D1DD6}" state="hidden">
      <selection activeCell="G66" sqref="G66"/>
      <pageMargins left="0.7" right="0.7" top="0.78740157499999996" bottom="0.78740157499999996" header="0.3" footer="0.3"/>
    </customSheetView>
  </customSheetView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F41"/>
  <sheetViews>
    <sheetView zoomScaleNormal="100" workbookViewId="0">
      <selection activeCell="C23" sqref="C23"/>
    </sheetView>
  </sheetViews>
  <sheetFormatPr baseColWidth="10" defaultRowHeight="14.25"/>
  <cols>
    <col min="3" max="3" width="16.25" customWidth="1"/>
    <col min="4" max="4" width="104.75" bestFit="1" customWidth="1"/>
    <col min="5" max="5" width="15.5" bestFit="1" customWidth="1"/>
    <col min="6" max="6" width="19.25" bestFit="1" customWidth="1"/>
  </cols>
  <sheetData>
    <row r="10" spans="3:6" ht="15">
      <c r="C10" s="42" t="s">
        <v>121</v>
      </c>
      <c r="D10" s="42" t="s">
        <v>122</v>
      </c>
      <c r="E10" s="42" t="s">
        <v>123</v>
      </c>
      <c r="F10" s="42" t="s">
        <v>124</v>
      </c>
    </row>
    <row r="11" spans="3:6" ht="28.5">
      <c r="C11" s="59" t="s">
        <v>125</v>
      </c>
      <c r="D11" s="44" t="s">
        <v>132</v>
      </c>
      <c r="E11" s="43" t="s">
        <v>126</v>
      </c>
      <c r="F11" s="45">
        <v>43089</v>
      </c>
    </row>
    <row r="12" spans="3:6">
      <c r="C12" s="59" t="s">
        <v>134</v>
      </c>
      <c r="D12" s="44" t="s">
        <v>135</v>
      </c>
      <c r="E12" s="43" t="s">
        <v>126</v>
      </c>
      <c r="F12" s="45">
        <v>43090</v>
      </c>
    </row>
    <row r="13" spans="3:6">
      <c r="C13" s="59" t="s">
        <v>164</v>
      </c>
      <c r="D13" s="44" t="s">
        <v>165</v>
      </c>
      <c r="E13" s="43" t="s">
        <v>126</v>
      </c>
      <c r="F13" s="45">
        <v>43090</v>
      </c>
    </row>
    <row r="14" spans="3:6">
      <c r="C14" s="59" t="s">
        <v>267</v>
      </c>
      <c r="D14" s="44" t="s">
        <v>268</v>
      </c>
      <c r="E14" s="43" t="s">
        <v>269</v>
      </c>
      <c r="F14" s="45">
        <v>43117</v>
      </c>
    </row>
    <row r="15" spans="3:6">
      <c r="C15" s="59" t="s">
        <v>271</v>
      </c>
      <c r="D15" s="44" t="s">
        <v>281</v>
      </c>
      <c r="E15" s="43" t="s">
        <v>126</v>
      </c>
      <c r="F15" s="45">
        <v>43122</v>
      </c>
    </row>
    <row r="16" spans="3:6">
      <c r="C16" s="59" t="s">
        <v>292</v>
      </c>
      <c r="D16" s="44" t="s">
        <v>308</v>
      </c>
      <c r="E16" s="43" t="s">
        <v>269</v>
      </c>
      <c r="F16" s="45">
        <v>43129</v>
      </c>
    </row>
    <row r="17" spans="3:6">
      <c r="C17" s="59" t="s">
        <v>309</v>
      </c>
      <c r="D17" s="44" t="s">
        <v>310</v>
      </c>
      <c r="E17" s="43" t="s">
        <v>311</v>
      </c>
      <c r="F17" s="45">
        <v>43130</v>
      </c>
    </row>
    <row r="18" spans="3:6" ht="28.5">
      <c r="C18" s="59" t="s">
        <v>318</v>
      </c>
      <c r="D18" s="44" t="s">
        <v>319</v>
      </c>
      <c r="E18" s="43" t="s">
        <v>126</v>
      </c>
      <c r="F18" s="45">
        <v>43132</v>
      </c>
    </row>
    <row r="19" spans="3:6">
      <c r="C19" s="59" t="s">
        <v>320</v>
      </c>
      <c r="D19" s="44" t="s">
        <v>321</v>
      </c>
      <c r="E19" s="43" t="s">
        <v>126</v>
      </c>
      <c r="F19" s="45">
        <v>43144</v>
      </c>
    </row>
    <row r="20" spans="3:6">
      <c r="C20" s="59" t="s">
        <v>325</v>
      </c>
      <c r="D20" s="44" t="s">
        <v>326</v>
      </c>
      <c r="E20" s="43" t="s">
        <v>126</v>
      </c>
      <c r="F20" s="45">
        <v>43145</v>
      </c>
    </row>
    <row r="21" spans="3:6" ht="28.5">
      <c r="C21" s="59" t="s">
        <v>327</v>
      </c>
      <c r="D21" s="44" t="s">
        <v>328</v>
      </c>
      <c r="E21" s="43" t="s">
        <v>126</v>
      </c>
      <c r="F21" s="45">
        <v>43209</v>
      </c>
    </row>
    <row r="22" spans="3:6">
      <c r="C22" s="59" t="s">
        <v>329</v>
      </c>
      <c r="D22" s="44" t="s">
        <v>330</v>
      </c>
      <c r="E22" s="43" t="s">
        <v>126</v>
      </c>
      <c r="F22" s="45">
        <v>43209</v>
      </c>
    </row>
    <row r="23" spans="3:6">
      <c r="C23" s="59"/>
      <c r="D23" s="44"/>
      <c r="E23" s="43"/>
      <c r="F23" s="45"/>
    </row>
    <row r="24" spans="3:6">
      <c r="C24" s="59"/>
      <c r="D24" s="44"/>
      <c r="E24" s="43"/>
      <c r="F24" s="45"/>
    </row>
    <row r="25" spans="3:6">
      <c r="C25" s="59"/>
      <c r="D25" s="44"/>
      <c r="E25" s="43"/>
      <c r="F25" s="45"/>
    </row>
    <row r="26" spans="3:6">
      <c r="C26" s="59"/>
      <c r="D26" s="44"/>
      <c r="E26" s="43"/>
      <c r="F26" s="45"/>
    </row>
    <row r="27" spans="3:6">
      <c r="C27" s="59"/>
      <c r="D27" s="44"/>
      <c r="E27" s="43"/>
      <c r="F27" s="45"/>
    </row>
    <row r="28" spans="3:6">
      <c r="C28" s="59"/>
      <c r="D28" s="44"/>
      <c r="E28" s="43"/>
      <c r="F28" s="45"/>
    </row>
    <row r="29" spans="3:6">
      <c r="C29" s="59"/>
      <c r="D29" s="44"/>
      <c r="E29" s="43"/>
      <c r="F29" s="45"/>
    </row>
    <row r="30" spans="3:6">
      <c r="C30" s="59"/>
      <c r="D30" s="44"/>
      <c r="E30" s="43"/>
      <c r="F30" s="45"/>
    </row>
    <row r="31" spans="3:6">
      <c r="C31" s="59"/>
      <c r="D31" s="44"/>
      <c r="E31" s="43"/>
      <c r="F31" s="45"/>
    </row>
    <row r="32" spans="3:6">
      <c r="C32" s="59"/>
      <c r="D32" s="44"/>
      <c r="E32" s="43"/>
      <c r="F32" s="45"/>
    </row>
    <row r="33" spans="3:6">
      <c r="C33" s="59"/>
      <c r="D33" s="44"/>
      <c r="E33" s="43"/>
      <c r="F33" s="45"/>
    </row>
    <row r="34" spans="3:6">
      <c r="C34" s="59"/>
      <c r="D34" s="44"/>
      <c r="E34" s="43"/>
      <c r="F34" s="45"/>
    </row>
    <row r="35" spans="3:6">
      <c r="C35" s="59"/>
      <c r="D35" s="44"/>
      <c r="E35" s="43"/>
      <c r="F35" s="45"/>
    </row>
    <row r="36" spans="3:6">
      <c r="C36" s="59"/>
      <c r="D36" s="44"/>
      <c r="E36" s="43"/>
      <c r="F36" s="45"/>
    </row>
    <row r="37" spans="3:6">
      <c r="C37" s="59"/>
      <c r="D37" s="44"/>
      <c r="E37" s="43"/>
      <c r="F37" s="45"/>
    </row>
    <row r="38" spans="3:6">
      <c r="C38" s="59"/>
      <c r="D38" s="44"/>
      <c r="E38" s="43"/>
      <c r="F38" s="45"/>
    </row>
    <row r="39" spans="3:6">
      <c r="C39" s="59"/>
      <c r="D39" s="44"/>
      <c r="E39" s="43"/>
      <c r="F39" s="45"/>
    </row>
    <row r="40" spans="3:6">
      <c r="D40" t="s">
        <v>279</v>
      </c>
    </row>
    <row r="41" spans="3:6">
      <c r="D41" t="str">
        <f>INDEX(C1:C100,SUMPRODUCT(MAX((C1:C100&lt;&gt;"")*ROW(C1:C100))))</f>
        <v>1.0</v>
      </c>
    </row>
  </sheetData>
  <customSheetViews>
    <customSheetView guid="{41A31638-5241-47B1-A775-10C3959D1DD6}" state="hidden">
      <selection activeCell="G66" sqref="G66"/>
      <pageMargins left="0.7" right="0.7" top="0.78740157499999996" bottom="0.78740157499999996" header="0.3" footer="0.3"/>
    </customSheetView>
  </customSheetView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9:J27"/>
  <sheetViews>
    <sheetView workbookViewId="0">
      <selection activeCell="E9" sqref="E9:J12"/>
    </sheetView>
  </sheetViews>
  <sheetFormatPr baseColWidth="10" defaultRowHeight="14.25"/>
  <cols>
    <col min="5" max="5" width="17.375" customWidth="1"/>
    <col min="6" max="6" width="14.125" customWidth="1"/>
    <col min="7" max="7" width="11.125" customWidth="1"/>
    <col min="8" max="9" width="3.625" customWidth="1"/>
    <col min="10" max="10" width="11" customWidth="1"/>
  </cols>
  <sheetData>
    <row r="9" spans="5:10" ht="15" customHeight="1">
      <c r="E9" s="18" t="s">
        <v>46</v>
      </c>
      <c r="F9" s="19" t="s">
        <v>47</v>
      </c>
      <c r="G9" s="19" t="s">
        <v>48</v>
      </c>
      <c r="H9" s="272" t="s">
        <v>49</v>
      </c>
      <c r="I9" s="272"/>
      <c r="J9" s="20" t="s">
        <v>50</v>
      </c>
    </row>
    <row r="10" spans="5:10" ht="15" customHeight="1">
      <c r="E10" s="17" t="s">
        <v>43</v>
      </c>
      <c r="F10" s="17" t="s">
        <v>140</v>
      </c>
      <c r="G10" s="270" t="s">
        <v>154</v>
      </c>
      <c r="H10" s="271"/>
      <c r="I10" s="275" t="s">
        <v>155</v>
      </c>
      <c r="J10" s="276"/>
    </row>
    <row r="11" spans="5:10" ht="15" customHeight="1">
      <c r="E11" s="17" t="s">
        <v>42</v>
      </c>
      <c r="F11" s="17" t="s">
        <v>51</v>
      </c>
      <c r="G11" s="270" t="s">
        <v>56</v>
      </c>
      <c r="H11" s="271"/>
      <c r="I11" s="275" t="s">
        <v>52</v>
      </c>
      <c r="J11" s="276"/>
    </row>
    <row r="12" spans="5:10" ht="15" customHeight="1">
      <c r="E12" s="17" t="s">
        <v>55</v>
      </c>
      <c r="F12" s="17" t="s">
        <v>53</v>
      </c>
      <c r="G12" s="277" t="s">
        <v>57</v>
      </c>
      <c r="H12" s="278"/>
      <c r="I12" s="273" t="s">
        <v>54</v>
      </c>
      <c r="J12" s="274"/>
    </row>
    <row r="15" spans="5:10" ht="24">
      <c r="E15" s="46" t="s">
        <v>153</v>
      </c>
    </row>
    <row r="16" spans="5:10">
      <c r="E16" s="47" t="s">
        <v>152</v>
      </c>
    </row>
    <row r="17" spans="5:5">
      <c r="E17" s="47" t="s">
        <v>141</v>
      </c>
    </row>
    <row r="18" spans="5:5">
      <c r="E18" s="47" t="s">
        <v>142</v>
      </c>
    </row>
    <row r="19" spans="5:5">
      <c r="E19" s="47" t="s">
        <v>143</v>
      </c>
    </row>
    <row r="20" spans="5:5">
      <c r="E20" s="47" t="s">
        <v>144</v>
      </c>
    </row>
    <row r="21" spans="5:5">
      <c r="E21" s="47" t="s">
        <v>145</v>
      </c>
    </row>
    <row r="22" spans="5:5">
      <c r="E22" s="47" t="s">
        <v>146</v>
      </c>
    </row>
    <row r="23" spans="5:5">
      <c r="E23" s="47" t="s">
        <v>147</v>
      </c>
    </row>
    <row r="24" spans="5:5">
      <c r="E24" s="47" t="s">
        <v>148</v>
      </c>
    </row>
    <row r="25" spans="5:5">
      <c r="E25" s="47" t="s">
        <v>149</v>
      </c>
    </row>
    <row r="26" spans="5:5">
      <c r="E26" s="47" t="s">
        <v>150</v>
      </c>
    </row>
    <row r="27" spans="5:5">
      <c r="E27" s="47" t="s">
        <v>151</v>
      </c>
    </row>
  </sheetData>
  <customSheetViews>
    <customSheetView guid="{41A31638-5241-47B1-A775-10C3959D1DD6}" state="hidden">
      <selection activeCell="G66" sqref="G66"/>
      <pageMargins left="0.7" right="0.7" top="0.78740157499999996" bottom="0.78740157499999996" header="0.3" footer="0.3"/>
      <pageSetup paperSize="9" orientation="portrait" r:id="rId1"/>
    </customSheetView>
  </customSheetViews>
  <mergeCells count="7">
    <mergeCell ref="G10:H10"/>
    <mergeCell ref="H9:I9"/>
    <mergeCell ref="I12:J12"/>
    <mergeCell ref="I10:J10"/>
    <mergeCell ref="G12:H12"/>
    <mergeCell ref="G11:H11"/>
    <mergeCell ref="I11:J11"/>
  </mergeCell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V1 Pauschale Investitionsmehrk.</vt:lpstr>
      <vt:lpstr>V2 Individuelle Invest.mehrk.</vt:lpstr>
      <vt:lpstr>Referenzmodelle</vt:lpstr>
      <vt:lpstr>Ladeinfrastruktur</vt:lpstr>
      <vt:lpstr>DropDownMenüs</vt:lpstr>
      <vt:lpstr>Versionskontrolle</vt:lpstr>
      <vt:lpstr>Unternehmenskategorie</vt:lpstr>
      <vt:lpstr>Referenzmodelle!Druckbereich</vt:lpstr>
      <vt:lpstr>'V1 Pauschale Investitionsmehrk.'!Druckbereich</vt:lpstr>
      <vt:lpstr>'V2 Individuelle Invest.mehrk.'!Druckbereich</vt:lpstr>
    </vt:vector>
  </TitlesOfParts>
  <Company>VDIVDE-IT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Schaller, Florian</dc:creator>
  <cp:lastModifiedBy>Lauble</cp:lastModifiedBy>
  <cp:lastPrinted>2018-04-19T14:55:04Z</cp:lastPrinted>
  <dcterms:created xsi:type="dcterms:W3CDTF">2017-12-14T07:57:20Z</dcterms:created>
  <dcterms:modified xsi:type="dcterms:W3CDTF">2018-04-27T14:25:02Z</dcterms:modified>
</cp:coreProperties>
</file>